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САЙТ\"/>
    </mc:Choice>
  </mc:AlternateContent>
  <xr:revisionPtr revIDLastSave="0" documentId="8_{4DC90F6A-2CD3-484B-B4E6-7D3790ECE78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RIZON" sheetId="1" r:id="rId1"/>
    <sheet name="hidden" sheetId="6" state="hidden" r:id="rId2"/>
    <sheet name="hidden1" sheetId="7" state="hidden" r:id="rId3"/>
    <sheet name="hidden3" sheetId="8" state="hidden" r:id="rId4"/>
    <sheet name="hidden2" sheetId="9" state="hidden" r:id="rId5"/>
    <sheet name="hidden4" sheetId="10" state="hidden" r:id="rId6"/>
  </sheets>
  <definedNames>
    <definedName name="H">#REF!</definedName>
    <definedName name="Hefele">#REF!</definedName>
    <definedName name="L">#REF!</definedName>
    <definedName name="Акрил_19мм">#REF!</definedName>
    <definedName name="Витраж_двухдверный">#REF!</definedName>
    <definedName name="Витраж_однодверный">#REF!</definedName>
    <definedName name="Витраж_перегородки">#REF!</definedName>
    <definedName name="Витраж_трехдверный">#REF!</definedName>
    <definedName name="Вставки_2">#REF!</definedName>
    <definedName name="Вставки_3">#REF!</definedName>
    <definedName name="Вставки_4">#REF!</definedName>
    <definedName name="Вставки_5">#REF!</definedName>
    <definedName name="ДСП">#REF!</definedName>
    <definedName name="ДСП_8мм_глянец">#REF!</definedName>
    <definedName name="ДСП_цветное">#REF!</definedName>
    <definedName name="Зеркало">#REF!</definedName>
    <definedName name="Кожа">#REF!</definedName>
    <definedName name="Материал_freeflap">#REF!</definedName>
    <definedName name="Материал_freefold">hidden!$M$4:$M$15</definedName>
    <definedName name="Материал_freelight">hidden!$A$5:$A$13</definedName>
    <definedName name="Материал_freeslide">#REF!</definedName>
    <definedName name="Материал_swing">#REF!</definedName>
    <definedName name="ПВХ_Р1">#REF!</definedName>
    <definedName name="ПВХ_Р2">#REF!</definedName>
    <definedName name="ПВХ_Р3_глянец">#REF!</definedName>
    <definedName name="Полноформатная">#REF!</definedName>
    <definedName name="С">#REF!</definedName>
    <definedName name="Стекло_1_категории">#REF!</definedName>
    <definedName name="Стекло_2_категории">#REF!</definedName>
    <definedName name="Стекло_3_категории">#REF!</definedName>
    <definedName name="Стекло_цветное">#REF!</definedName>
  </definedNames>
  <calcPr calcId="191029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5" i="10" l="1"/>
  <c r="I15" i="10"/>
  <c r="I13" i="10"/>
  <c r="I12" i="10"/>
  <c r="I11" i="10"/>
  <c r="G11" i="10"/>
  <c r="I10" i="10"/>
  <c r="G10" i="10"/>
  <c r="I8" i="10"/>
  <c r="I7" i="10"/>
  <c r="I6" i="10"/>
  <c r="G6" i="10"/>
  <c r="I5" i="10"/>
  <c r="G5" i="10"/>
  <c r="G3" i="10"/>
  <c r="J10" i="10" s="1"/>
  <c r="J15" i="9"/>
  <c r="I15" i="9"/>
  <c r="I17" i="9" s="1"/>
  <c r="I13" i="9"/>
  <c r="J12" i="9"/>
  <c r="I12" i="9"/>
  <c r="J11" i="9"/>
  <c r="I11" i="9"/>
  <c r="I10" i="9"/>
  <c r="I8" i="9"/>
  <c r="J7" i="9"/>
  <c r="I7" i="9"/>
  <c r="J6" i="9"/>
  <c r="I6" i="9"/>
  <c r="J5" i="9"/>
  <c r="I5" i="9"/>
  <c r="G3" i="9"/>
  <c r="G12" i="9" s="1"/>
  <c r="J15" i="8"/>
  <c r="I15" i="8"/>
  <c r="I17" i="8" s="1"/>
  <c r="I13" i="8"/>
  <c r="G13" i="8"/>
  <c r="I12" i="8"/>
  <c r="I11" i="8"/>
  <c r="I10" i="8"/>
  <c r="I8" i="8"/>
  <c r="I7" i="8"/>
  <c r="I6" i="8"/>
  <c r="I5" i="8"/>
  <c r="G3" i="8"/>
  <c r="J13" i="8" s="1"/>
  <c r="J15" i="7"/>
  <c r="I15" i="7"/>
  <c r="I17" i="7" s="1"/>
  <c r="I13" i="7"/>
  <c r="I12" i="7"/>
  <c r="I11" i="7"/>
  <c r="I10" i="7"/>
  <c r="I8" i="7"/>
  <c r="I7" i="7"/>
  <c r="G7" i="7"/>
  <c r="I6" i="7"/>
  <c r="I5" i="7"/>
  <c r="G3" i="7"/>
  <c r="J11" i="7" s="1"/>
  <c r="J15" i="6"/>
  <c r="I15" i="6"/>
  <c r="I17" i="6" s="1"/>
  <c r="I13" i="6"/>
  <c r="I12" i="6"/>
  <c r="I11" i="6"/>
  <c r="I10" i="6"/>
  <c r="I8" i="6"/>
  <c r="J7" i="6"/>
  <c r="I7" i="6"/>
  <c r="I6" i="6"/>
  <c r="I5" i="6"/>
  <c r="G3" i="6"/>
  <c r="G13" i="6" s="1"/>
  <c r="G15" i="10"/>
  <c r="G15" i="8"/>
  <c r="I2" i="1"/>
  <c r="H2" i="1"/>
  <c r="G2" i="1"/>
  <c r="I17" i="10" l="1"/>
  <c r="J10" i="7"/>
  <c r="J12" i="6"/>
  <c r="G6" i="8"/>
  <c r="G11" i="7"/>
  <c r="G7" i="8"/>
  <c r="G5" i="8"/>
  <c r="G12" i="7"/>
  <c r="J5" i="7"/>
  <c r="G6" i="7"/>
  <c r="G12" i="8"/>
  <c r="G8" i="8"/>
  <c r="G10" i="8"/>
  <c r="G11" i="8"/>
  <c r="J13" i="6"/>
  <c r="G5" i="6"/>
  <c r="G10" i="6"/>
  <c r="J5" i="8"/>
  <c r="J10" i="8"/>
  <c r="G8" i="9"/>
  <c r="G13" i="9"/>
  <c r="J7" i="7"/>
  <c r="J12" i="7"/>
  <c r="J6" i="10"/>
  <c r="J11" i="10"/>
  <c r="J8" i="6"/>
  <c r="J10" i="6"/>
  <c r="G8" i="7"/>
  <c r="G13" i="7"/>
  <c r="J8" i="9"/>
  <c r="J13" i="9"/>
  <c r="G7" i="10"/>
  <c r="G12" i="10"/>
  <c r="J5" i="6"/>
  <c r="G6" i="6"/>
  <c r="G11" i="6"/>
  <c r="J6" i="8"/>
  <c r="J11" i="8"/>
  <c r="G5" i="9"/>
  <c r="G10" i="9"/>
  <c r="J8" i="7"/>
  <c r="J13" i="7"/>
  <c r="J7" i="10"/>
  <c r="J12" i="10"/>
  <c r="J6" i="6"/>
  <c r="J11" i="6"/>
  <c r="G5" i="7"/>
  <c r="G10" i="7"/>
  <c r="G15" i="7" s="1"/>
  <c r="J10" i="9"/>
  <c r="G8" i="10"/>
  <c r="G13" i="10"/>
  <c r="G7" i="6"/>
  <c r="G12" i="6"/>
  <c r="J7" i="8"/>
  <c r="J12" i="8"/>
  <c r="G6" i="9"/>
  <c r="D11" i="1" s="1"/>
  <c r="G11" i="9"/>
  <c r="J8" i="10"/>
  <c r="J13" i="10"/>
  <c r="G8" i="6"/>
  <c r="J8" i="8"/>
  <c r="G7" i="9"/>
  <c r="J6" i="7"/>
  <c r="J5" i="10"/>
  <c r="D13" i="1" l="1"/>
  <c r="G15" i="9"/>
  <c r="G15" i="6"/>
</calcChain>
</file>

<file path=xl/sharedStrings.xml><?xml version="1.0" encoding="utf-8"?>
<sst xmlns="http://schemas.openxmlformats.org/spreadsheetml/2006/main" count="139" uniqueCount="73">
  <si>
    <t>Внесите размеры фасада в таблицу!</t>
  </si>
  <si>
    <t>Рекомендованная высота фасада</t>
  </si>
  <si>
    <t>Высота фасада</t>
  </si>
  <si>
    <t>мм</t>
  </si>
  <si>
    <t>250 - 650 мм</t>
  </si>
  <si>
    <t>Ширина фасада</t>
  </si>
  <si>
    <t>Толщина фасада</t>
  </si>
  <si>
    <t>Длина ручки</t>
  </si>
  <si>
    <t>Выберите тип фасада!</t>
  </si>
  <si>
    <t>Материал фасада</t>
  </si>
  <si>
    <t>Фасад МДФ</t>
  </si>
  <si>
    <t>Масса фасада</t>
  </si>
  <si>
    <t>кг</t>
  </si>
  <si>
    <t>Коофицент силы F</t>
  </si>
  <si>
    <t>F</t>
  </si>
  <si>
    <t>Согласно данному коофиценту выбирите модель подъёмника из таблицы ниже!</t>
  </si>
  <si>
    <t>Подъёмник с доводчиком плавное закрывание SOFT CLOSE</t>
  </si>
  <si>
    <t>Ориентировочная высота фасада</t>
  </si>
  <si>
    <t>Показатель F</t>
  </si>
  <si>
    <t>вес фасада</t>
  </si>
  <si>
    <t>Белый подъёмник</t>
  </si>
  <si>
    <t>Серый подъёмник</t>
  </si>
  <si>
    <t>Чёрный подъёмник</t>
  </si>
  <si>
    <t>250-450 мм</t>
  </si>
  <si>
    <t>500-1350</t>
  </si>
  <si>
    <t>2 - 5 кг</t>
  </si>
  <si>
    <t>LIGHT</t>
  </si>
  <si>
    <t>PD-H-LIGHT-10</t>
  </si>
  <si>
    <t>PD-H-LIGHT-80</t>
  </si>
  <si>
    <t>PD-H-LIGHT-20</t>
  </si>
  <si>
    <t>300-650 мм</t>
  </si>
  <si>
    <t>1100-2250</t>
  </si>
  <si>
    <t>2,8 - 7 кг</t>
  </si>
  <si>
    <t>MEDIUM</t>
  </si>
  <si>
    <t>PD-H-MEDIUM-10</t>
  </si>
  <si>
    <t>PD-H-MEDIUM-80</t>
  </si>
  <si>
    <t>PD-H-MEDIUM-20</t>
  </si>
  <si>
    <t>350-650 мм</t>
  </si>
  <si>
    <t>2000-4050</t>
  </si>
  <si>
    <t>4,5-10 кг</t>
  </si>
  <si>
    <t>STRONG</t>
  </si>
  <si>
    <t>PD-H-STRONG-10</t>
  </si>
  <si>
    <t>PD-H-STRONG-80</t>
  </si>
  <si>
    <t>PD-H-STRONG-20</t>
  </si>
  <si>
    <t>400-650 мм</t>
  </si>
  <si>
    <t>3500-5200</t>
  </si>
  <si>
    <t>8 - 12 кг</t>
  </si>
  <si>
    <t>SLRONG PLUS</t>
  </si>
  <si>
    <t>PD-H-STRONG-PLUS-10</t>
  </si>
  <si>
    <t>PD-H-STRONG-PLUS-80</t>
  </si>
  <si>
    <t>PD-H-STRONG-PLUS-20</t>
  </si>
  <si>
    <t>Подъёмник открывание с нажатием PUSH TO OPEN (P2O)</t>
  </si>
  <si>
    <t>PD-H-P2O-LIGHT-10</t>
  </si>
  <si>
    <t>PD-H-P2O-LIGHT-80</t>
  </si>
  <si>
    <t>PD-H-P2O-LIGHT-20</t>
  </si>
  <si>
    <t>PD-H-P2O-MEDIUM-10</t>
  </si>
  <si>
    <t>PD-H-P2O-MEDIUM-80</t>
  </si>
  <si>
    <t>PD-H-P2O-MEDIUM-20</t>
  </si>
  <si>
    <t>PD-H-P2O-STRONG-10</t>
  </si>
  <si>
    <t>PD-H-P2O-STRONG-80</t>
  </si>
  <si>
    <t>PD-H-P2O-STRONG-20</t>
  </si>
  <si>
    <t>PD-H-P2O-STRONG-PLUS-10</t>
  </si>
  <si>
    <t>PD-H-P2O-STRONG-PLUS-80</t>
  </si>
  <si>
    <t>PD-H-P2O-STRONG-PLUS-20</t>
  </si>
  <si>
    <t>Фасад Z4</t>
  </si>
  <si>
    <t>-</t>
  </si>
  <si>
    <t>Длина ручки, мм</t>
  </si>
  <si>
    <t>Фасад ДСП</t>
  </si>
  <si>
    <t>Фасад (профиль МДФ + стекло)</t>
  </si>
  <si>
    <t>Фасад ДСП (16 мм) с наклеенным стеклом (4 мм)</t>
  </si>
  <si>
    <t>Фасад массив (бук)</t>
  </si>
  <si>
    <t>Фасад массив (дуб)</t>
  </si>
  <si>
    <t>Фасад массив (ольха)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</si>
</sst>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charset val="1"/>
    </font>
    <font>
      <sz val="10"/>
      <name val="Arial"/>
      <family val="2"/>
      <charset val="238"/>
    </font>
    <font>
      <sz val="10"/>
      <color rgb="FF000000"/>
      <name val="Arial Nova Light"/>
      <family val="2"/>
      <charset val="1"/>
    </font>
    <font>
      <sz val="14"/>
      <color rgb="FF000000"/>
      <name val="Arial Nova Light"/>
      <family val="2"/>
      <charset val="1"/>
    </font>
    <font>
      <b/>
      <sz val="10"/>
      <color rgb="FFC00000"/>
      <name val="Arial Nova Light"/>
      <family val="2"/>
      <charset val="1"/>
    </font>
    <font>
      <sz val="10"/>
      <color rgb="FFFFFFFF"/>
      <name val="Arial Nova Light"/>
      <family val="2"/>
      <charset val="1"/>
    </font>
    <font>
      <sz val="12"/>
      <color rgb="FFFFFFFF"/>
      <name val="Arial Nova Light"/>
      <family val="2"/>
      <charset val="1"/>
    </font>
    <font>
      <b/>
      <sz val="10"/>
      <color rgb="FFFFFFFF"/>
      <name val="Arial Nova Light"/>
      <family val="2"/>
      <charset val="1"/>
    </font>
    <font>
      <sz val="11"/>
      <color rgb="FFFFFFFF"/>
      <name val="Arial Nova Light"/>
      <family val="2"/>
      <charset val="1"/>
    </font>
    <font>
      <sz val="12"/>
      <color rgb="FF000000"/>
      <name val="Arial Nova Light"/>
      <family val="2"/>
      <charset val="1"/>
    </font>
    <font>
      <sz val="11"/>
      <color rgb="FF000000"/>
      <name val="Arial Nova Light"/>
      <family val="2"/>
      <charset val="1"/>
    </font>
    <font>
      <b/>
      <sz val="12"/>
      <color rgb="FFFFFFFF"/>
      <name val="Arial Nova Light"/>
      <family val="2"/>
      <charset val="1"/>
    </font>
    <font>
      <b/>
      <sz val="14"/>
      <color rgb="FFFFFFFF"/>
      <name val="Arial Nova Light"/>
      <family val="2"/>
      <charset val="1"/>
    </font>
    <font>
      <b/>
      <sz val="16"/>
      <color rgb="FFFFFFFF"/>
      <name val="Arial Nova Light"/>
      <family val="2"/>
      <charset val="1"/>
    </font>
    <font>
      <b/>
      <sz val="18"/>
      <color rgb="FFFFFFFF"/>
      <name val="Arial Nova Light"/>
      <family val="2"/>
      <charset val="1"/>
    </font>
    <font>
      <sz val="18"/>
      <color rgb="FF000000"/>
      <name val="Arial Nova Light"/>
      <family val="2"/>
      <charset val="1"/>
    </font>
    <font>
      <sz val="16"/>
      <color rgb="FF000000"/>
      <name val="Arial Nova Light"/>
      <family val="2"/>
      <charset val="1"/>
    </font>
    <font>
      <sz val="9"/>
      <color rgb="FFFFFFFF"/>
      <name val="Arial Nova Light"/>
      <family val="2"/>
      <charset val="1"/>
    </font>
    <font>
      <b/>
      <sz val="9"/>
      <color rgb="FFFFFFFF"/>
      <name val="Arial Nova Light"/>
      <family val="2"/>
      <charset val="1"/>
    </font>
    <font>
      <sz val="9"/>
      <color rgb="FF000000"/>
      <name val="Arial Nova Light"/>
      <family val="2"/>
      <charset val="1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F2DCDB"/>
      </patternFill>
    </fill>
    <fill>
      <patternFill patternType="solid">
        <fgColor rgb="FFC00000"/>
        <bgColor rgb="FFFF0000"/>
      </patternFill>
    </fill>
    <fill>
      <patternFill patternType="solid">
        <fgColor rgb="FF808080"/>
        <bgColor rgb="FF969696"/>
      </patternFill>
    </fill>
    <fill>
      <patternFill patternType="solid">
        <fgColor rgb="FF00B050"/>
        <bgColor rgb="FF008080"/>
      </patternFill>
    </fill>
    <fill>
      <patternFill patternType="solid">
        <fgColor rgb="FF0D0D0D"/>
        <bgColor rgb="FF000000"/>
      </patternFill>
    </fill>
    <fill>
      <patternFill patternType="solid">
        <fgColor rgb="FF000000"/>
        <bgColor rgb="FF0D0D0D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6" fillId="6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0" borderId="0" xfId="0" applyNumberFormat="1" applyFont="1" applyProtection="1"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1" fontId="14" fillId="3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" fontId="1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7" fillId="7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7" fillId="4" borderId="1" xfId="0" applyFont="1" applyFill="1" applyBorder="1" applyAlignment="1" applyProtection="1">
      <alignment horizontal="center"/>
      <protection hidden="1"/>
    </xf>
    <xf numFmtId="0" fontId="20" fillId="0" borderId="0" xfId="0" applyFont="1" applyProtection="1">
      <protection locked="0" hidden="1"/>
    </xf>
    <xf numFmtId="49" fontId="20" fillId="0" borderId="1" xfId="0" applyNumberFormat="1" applyFont="1" applyBorder="1" applyAlignment="1" applyProtection="1">
      <alignment horizontal="center" vertical="center"/>
      <protection locked="0" hidden="1"/>
    </xf>
    <xf numFmtId="49" fontId="20" fillId="0" borderId="0" xfId="0" applyNumberFormat="1" applyFont="1" applyAlignment="1" applyProtection="1">
      <alignment horizontal="center" vertical="center"/>
      <protection locked="0" hidden="1"/>
    </xf>
    <xf numFmtId="2" fontId="20" fillId="0" borderId="1" xfId="0" applyNumberFormat="1" applyFont="1" applyBorder="1" applyAlignment="1" applyProtection="1">
      <alignment horizontal="center" vertical="center" wrapText="1"/>
      <protection locked="0" hidden="1"/>
    </xf>
    <xf numFmtId="2" fontId="20" fillId="0" borderId="0" xfId="0" applyNumberFormat="1" applyFont="1" applyAlignment="1" applyProtection="1">
      <alignment horizontal="center" vertical="center" wrapText="1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2" fontId="20" fillId="0" borderId="0" xfId="0" applyNumberFormat="1" applyFont="1" applyProtection="1">
      <protection locked="0" hidden="1"/>
    </xf>
    <xf numFmtId="2" fontId="20" fillId="0" borderId="1" xfId="0" applyNumberFormat="1" applyFont="1" applyBorder="1" applyAlignment="1" applyProtection="1">
      <alignment horizontal="center" vertical="center"/>
      <protection locked="0" hidden="1"/>
    </xf>
    <xf numFmtId="2" fontId="20" fillId="0" borderId="0" xfId="0" applyNumberFormat="1" applyFont="1" applyAlignment="1" applyProtection="1">
      <alignment horizontal="center" vertical="center"/>
      <protection locked="0" hidden="1"/>
    </xf>
    <xf numFmtId="0" fontId="20" fillId="0" borderId="4" xfId="0" applyFont="1" applyBorder="1" applyAlignment="1" applyProtection="1">
      <alignment horizontal="left" vertical="center"/>
      <protection locked="0" hidden="1"/>
    </xf>
    <xf numFmtId="0" fontId="20" fillId="0" borderId="0" xfId="0" applyFont="1" applyAlignment="1" applyProtection="1">
      <alignment horizontal="left" vertical="center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0" fontId="20" fillId="0" borderId="1" xfId="0" applyFont="1" applyBorder="1" applyAlignment="1" applyProtection="1">
      <alignment horizontal="left" vertical="center"/>
      <protection locked="0" hidden="1"/>
    </xf>
    <xf numFmtId="0" fontId="21" fillId="0" borderId="4" xfId="0" applyFont="1" applyBorder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</cellXfs>
  <cellStyles count="2">
    <cellStyle name="Normalny 2" xfId="1" xr:uid="{00000000-0005-0000-0000-000006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00B050"/>
      <rgbColor rgb="FF0D0D0D"/>
      <rgbColor rgb="FF632523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60840</xdr:colOff>
      <xdr:row>7</xdr:row>
      <xdr:rowOff>152280</xdr:rowOff>
    </xdr:from>
    <xdr:to>
      <xdr:col>7</xdr:col>
      <xdr:colOff>479520</xdr:colOff>
      <xdr:row>10</xdr:row>
      <xdr:rowOff>22320</xdr:rowOff>
    </xdr:to>
    <xdr:pic>
      <xdr:nvPicPr>
        <xdr:cNvPr id="2" name="Grafika 5" descr="Wstecz z wypełnieniem pełny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20040" y="1763640"/>
          <a:ext cx="418680" cy="42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727200</xdr:colOff>
      <xdr:row>1</xdr:row>
      <xdr:rowOff>126720</xdr:rowOff>
    </xdr:from>
    <xdr:to>
      <xdr:col>5</xdr:col>
      <xdr:colOff>261360</xdr:colOff>
      <xdr:row>1</xdr:row>
      <xdr:rowOff>492120</xdr:rowOff>
    </xdr:to>
    <xdr:pic>
      <xdr:nvPicPr>
        <xdr:cNvPr id="3" name="Grafika 6" descr="Wstecz z wypełnieniem pełny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5400000" flipH="1">
          <a:off x="4487760" y="229680"/>
          <a:ext cx="371880" cy="36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23040</xdr:colOff>
      <xdr:row>12</xdr:row>
      <xdr:rowOff>106560</xdr:rowOff>
    </xdr:from>
    <xdr:to>
      <xdr:col>4</xdr:col>
      <xdr:colOff>312120</xdr:colOff>
      <xdr:row>12</xdr:row>
      <xdr:rowOff>395640</xdr:rowOff>
    </xdr:to>
    <xdr:pic>
      <xdr:nvPicPr>
        <xdr:cNvPr id="4" name="Grafika 7" descr="Wstecz z wypełnieniem pełny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52240" y="2803320"/>
          <a:ext cx="289080" cy="28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47160</xdr:colOff>
      <xdr:row>15</xdr:row>
      <xdr:rowOff>102240</xdr:rowOff>
    </xdr:from>
    <xdr:to>
      <xdr:col>4</xdr:col>
      <xdr:colOff>351360</xdr:colOff>
      <xdr:row>15</xdr:row>
      <xdr:rowOff>376200</xdr:rowOff>
    </xdr:to>
    <xdr:pic>
      <xdr:nvPicPr>
        <xdr:cNvPr id="5" name="Grafika 8" descr="Wstecz z wypełnieniem pełny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6451800" flipH="1">
          <a:off x="3847680" y="3557160"/>
          <a:ext cx="304200" cy="2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48600</xdr:colOff>
      <xdr:row>22</xdr:row>
      <xdr:rowOff>79200</xdr:rowOff>
    </xdr:from>
    <xdr:to>
      <xdr:col>4</xdr:col>
      <xdr:colOff>352800</xdr:colOff>
      <xdr:row>23</xdr:row>
      <xdr:rowOff>10080</xdr:rowOff>
    </xdr:to>
    <xdr:pic>
      <xdr:nvPicPr>
        <xdr:cNvPr id="6" name="Grafika 13" descr="Wstecz z wypełnieniem pełny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6451800" flipH="1">
          <a:off x="3849120" y="4953960"/>
          <a:ext cx="304200" cy="2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449640</xdr:colOff>
      <xdr:row>2</xdr:row>
      <xdr:rowOff>205920</xdr:rowOff>
    </xdr:from>
    <xdr:to>
      <xdr:col>8</xdr:col>
      <xdr:colOff>1665360</xdr:colOff>
      <xdr:row>11</xdr:row>
      <xdr:rowOff>30240</xdr:rowOff>
    </xdr:to>
    <xdr:pic>
      <xdr:nvPicPr>
        <xdr:cNvPr id="7" name="Obraz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26120" y="853920"/>
          <a:ext cx="1215720" cy="1772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959040</xdr:colOff>
      <xdr:row>3</xdr:row>
      <xdr:rowOff>91080</xdr:rowOff>
    </xdr:to>
    <xdr:pic>
      <xdr:nvPicPr>
        <xdr:cNvPr id="8" name="Obraz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959040" cy="967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82"/>
  <sheetViews>
    <sheetView showGridLines="0" tabSelected="1" zoomScaleNormal="100" workbookViewId="0">
      <selection activeCell="H2" sqref="H2"/>
    </sheetView>
  </sheetViews>
  <sheetFormatPr defaultColWidth="14.42578125" defaultRowHeight="12.75" x14ac:dyDescent="0.2"/>
  <cols>
    <col min="1" max="1" width="14.42578125" style="7"/>
    <col min="2" max="2" width="6.140625" style="7" customWidth="1"/>
    <col min="3" max="3" width="21.140625" style="7" customWidth="1"/>
    <col min="4" max="4" width="16.7109375" style="7" customWidth="1"/>
    <col min="5" max="5" width="11.85546875" style="7" customWidth="1"/>
    <col min="6" max="6" width="12" style="7" customWidth="1"/>
    <col min="7" max="7" width="23.28515625" style="7" customWidth="1"/>
    <col min="8" max="8" width="25.7109375" style="7" customWidth="1"/>
    <col min="9" max="9" width="23.5703125" style="7" customWidth="1"/>
    <col min="10" max="20" width="8" style="7" customWidth="1"/>
    <col min="21" max="1024" width="14.42578125" style="7"/>
  </cols>
  <sheetData>
    <row r="1" spans="3:9" ht="7.9" customHeight="1" x14ac:dyDescent="0.2">
      <c r="C1" s="6"/>
      <c r="D1" s="6"/>
      <c r="E1" s="6"/>
      <c r="F1" s="6"/>
      <c r="G1" s="6"/>
      <c r="H1" s="6"/>
    </row>
    <row r="2" spans="3:9" ht="43.15" customHeight="1" x14ac:dyDescent="0.2">
      <c r="C2" s="5" t="s">
        <v>0</v>
      </c>
      <c r="D2" s="5"/>
      <c r="E2" s="5"/>
      <c r="F2" s="8" t="s">
        <v>1</v>
      </c>
      <c r="G2" s="9" t="e">
        <f>#VALUE!</f>
        <v>#VALUE!</v>
      </c>
      <c r="H2" s="9" t="e">
        <f>#VALUE!</f>
        <v>#VALUE!</v>
      </c>
      <c r="I2" s="10" t="e">
        <f>#VALUE!</f>
        <v>#VALUE!</v>
      </c>
    </row>
    <row r="3" spans="3:9" ht="18" customHeight="1" x14ac:dyDescent="0.2">
      <c r="C3" s="11" t="s">
        <v>2</v>
      </c>
      <c r="D3" s="12">
        <v>900</v>
      </c>
      <c r="E3" s="13" t="s">
        <v>3</v>
      </c>
      <c r="F3" s="14" t="s">
        <v>4</v>
      </c>
      <c r="G3" s="9"/>
      <c r="H3" s="9"/>
      <c r="I3" s="4"/>
    </row>
    <row r="4" spans="3:9" ht="16.899999999999999" customHeight="1" x14ac:dyDescent="0.2">
      <c r="C4" s="16" t="s">
        <v>5</v>
      </c>
      <c r="D4" s="12">
        <v>555</v>
      </c>
      <c r="E4" s="17" t="s">
        <v>3</v>
      </c>
      <c r="F4" s="9"/>
      <c r="G4" s="9"/>
      <c r="H4" s="9"/>
      <c r="I4" s="4"/>
    </row>
    <row r="5" spans="3:9" ht="16.899999999999999" customHeight="1" x14ac:dyDescent="0.2">
      <c r="C5" s="16" t="s">
        <v>6</v>
      </c>
      <c r="D5" s="12">
        <v>18</v>
      </c>
      <c r="E5" s="17" t="s">
        <v>3</v>
      </c>
      <c r="F5" s="9"/>
      <c r="G5" s="9"/>
      <c r="H5" s="9"/>
      <c r="I5" s="4"/>
    </row>
    <row r="6" spans="3:9" ht="15.6" customHeight="1" x14ac:dyDescent="0.2">
      <c r="C6" s="16" t="s">
        <v>7</v>
      </c>
      <c r="D6" s="12">
        <v>350</v>
      </c>
      <c r="E6" s="17" t="s">
        <v>3</v>
      </c>
      <c r="F6" s="9"/>
      <c r="G6" s="9"/>
      <c r="H6" s="9"/>
      <c r="I6" s="4"/>
    </row>
    <row r="7" spans="3:9" ht="8.4499999999999993" customHeight="1" x14ac:dyDescent="0.2">
      <c r="C7" s="18"/>
      <c r="D7" s="15"/>
      <c r="E7" s="19"/>
      <c r="F7" s="9"/>
      <c r="G7" s="9"/>
      <c r="H7" s="9"/>
      <c r="I7" s="4"/>
    </row>
    <row r="8" spans="3:9" ht="15.6" customHeight="1" x14ac:dyDescent="0.2">
      <c r="C8" s="9"/>
      <c r="D8" s="5" t="s">
        <v>8</v>
      </c>
      <c r="E8" s="5"/>
      <c r="F8" s="5"/>
      <c r="G8" s="5"/>
      <c r="H8" s="9"/>
      <c r="I8" s="4"/>
    </row>
    <row r="9" spans="3:9" ht="19.899999999999999" customHeight="1" x14ac:dyDescent="0.2">
      <c r="C9" s="16" t="s">
        <v>9</v>
      </c>
      <c r="D9" s="3" t="s">
        <v>10</v>
      </c>
      <c r="E9" s="3"/>
      <c r="F9" s="3"/>
      <c r="G9" s="3"/>
      <c r="H9" s="9"/>
      <c r="I9" s="4"/>
    </row>
    <row r="10" spans="3:9" ht="7.9" customHeight="1" x14ac:dyDescent="0.2">
      <c r="C10" s="9"/>
      <c r="D10" s="9"/>
      <c r="E10" s="9"/>
      <c r="F10" s="9"/>
      <c r="G10" s="9"/>
      <c r="H10" s="9"/>
      <c r="I10" s="4"/>
    </row>
    <row r="11" spans="3:9" ht="34.15" customHeight="1" x14ac:dyDescent="0.2">
      <c r="C11" s="16" t="s">
        <v>11</v>
      </c>
      <c r="D11" s="20" t="str">
        <f>IF(HORIZON!$D$9=hidden2!$F$4,hidden2!$G$4," ")&amp;IF(HORIZON!$D$9=hidden2!$A$5,hidden2!$G$5," ")&amp;IF(HORIZON!$D$9=hidden2!$A$6,hidden2!$G$6," ")&amp;IF(HORIZON!$D$9=hidden2!$A$7,hidden2!$G$7," ")&amp;IF(HORIZON!$D$9=hidden2!$A$8,hidden2!$G$8," ")&amp;IF(HORIZON!$D$9=hidden2!$A$9,hidden2!$G$9," ")&amp;IF(HORIZON!$D$9=hidden2!$A$10,hidden2!$G$10," ")&amp;IF(HORIZON!$D$9=hidden2!$A$11,hidden2!$G$11," ")&amp;IF(HORIZON!$D$9=hidden2!$A$12,hidden2!$G$12," ")&amp;IF(HORIZON!$D$9=hidden2!$A$13,hidden2!$G$13," ")</f>
        <v xml:space="preserve">  7,5428       </v>
      </c>
      <c r="E11" s="21" t="s">
        <v>12</v>
      </c>
      <c r="F11" s="9"/>
      <c r="G11" s="9"/>
      <c r="H11" s="9"/>
      <c r="I11" s="4"/>
    </row>
    <row r="12" spans="3:9" ht="7.9" customHeight="1" x14ac:dyDescent="0.2">
      <c r="C12" s="9"/>
    </row>
    <row r="13" spans="3:9" ht="36.6" customHeight="1" x14ac:dyDescent="0.2">
      <c r="C13" s="16" t="s">
        <v>13</v>
      </c>
      <c r="D13" s="22">
        <f>D11*D3</f>
        <v>6788.5199999999995</v>
      </c>
      <c r="E13" s="21" t="s">
        <v>14</v>
      </c>
      <c r="F13" s="2" t="s">
        <v>15</v>
      </c>
      <c r="G13" s="2"/>
      <c r="H13" s="2"/>
      <c r="I13" s="2"/>
    </row>
    <row r="14" spans="3:9" ht="7.15" customHeight="1" x14ac:dyDescent="0.2">
      <c r="C14" s="23"/>
      <c r="D14" s="24"/>
      <c r="E14" s="25"/>
      <c r="F14" s="26"/>
      <c r="G14" s="26"/>
      <c r="H14" s="26"/>
      <c r="I14" s="27"/>
    </row>
    <row r="15" spans="3:9" ht="18.600000000000001" customHeight="1" x14ac:dyDescent="0.2">
      <c r="C15" s="1" t="s">
        <v>16</v>
      </c>
      <c r="D15" s="1"/>
      <c r="E15" s="1"/>
      <c r="F15" s="1"/>
      <c r="G15" s="1"/>
      <c r="H15" s="1"/>
      <c r="I15" s="1"/>
    </row>
    <row r="16" spans="3:9" ht="31.9" customHeight="1" x14ac:dyDescent="0.2">
      <c r="C16" s="28" t="s">
        <v>17</v>
      </c>
      <c r="D16" s="29" t="s">
        <v>18</v>
      </c>
      <c r="E16" s="30" t="s">
        <v>19</v>
      </c>
      <c r="F16" s="31"/>
      <c r="G16" s="28" t="s">
        <v>20</v>
      </c>
      <c r="H16" s="28" t="s">
        <v>21</v>
      </c>
      <c r="I16" s="28" t="s">
        <v>22</v>
      </c>
    </row>
    <row r="17" spans="3:9" ht="12.75" customHeight="1" x14ac:dyDescent="0.2">
      <c r="C17" s="31" t="s">
        <v>23</v>
      </c>
      <c r="D17" s="32" t="s">
        <v>24</v>
      </c>
      <c r="E17" s="30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</row>
    <row r="18" spans="3:9" s="15" customFormat="1" ht="12.75" customHeight="1" x14ac:dyDescent="0.2">
      <c r="C18" s="31" t="s">
        <v>30</v>
      </c>
      <c r="D18" s="32" t="s">
        <v>31</v>
      </c>
      <c r="E18" s="30" t="s">
        <v>32</v>
      </c>
      <c r="F18" s="31" t="s">
        <v>33</v>
      </c>
      <c r="G18" s="31" t="s">
        <v>34</v>
      </c>
      <c r="H18" s="31" t="s">
        <v>35</v>
      </c>
      <c r="I18" s="31" t="s">
        <v>36</v>
      </c>
    </row>
    <row r="19" spans="3:9" ht="12.75" customHeight="1" x14ac:dyDescent="0.2">
      <c r="C19" s="31" t="s">
        <v>37</v>
      </c>
      <c r="D19" s="32" t="s">
        <v>38</v>
      </c>
      <c r="E19" s="30" t="s">
        <v>39</v>
      </c>
      <c r="F19" s="31" t="s">
        <v>40</v>
      </c>
      <c r="G19" s="31" t="s">
        <v>41</v>
      </c>
      <c r="H19" s="31" t="s">
        <v>42</v>
      </c>
      <c r="I19" s="31" t="s">
        <v>43</v>
      </c>
    </row>
    <row r="20" spans="3:9" ht="12.75" customHeight="1" x14ac:dyDescent="0.2">
      <c r="C20" s="31" t="s">
        <v>44</v>
      </c>
      <c r="D20" s="32" t="s">
        <v>45</v>
      </c>
      <c r="E20" s="30" t="s">
        <v>46</v>
      </c>
      <c r="F20" s="31" t="s">
        <v>47</v>
      </c>
      <c r="G20" s="31" t="s">
        <v>48</v>
      </c>
      <c r="H20" s="31" t="s">
        <v>49</v>
      </c>
      <c r="I20" s="31" t="s">
        <v>50</v>
      </c>
    </row>
    <row r="21" spans="3:9" ht="6" customHeight="1" x14ac:dyDescent="0.2">
      <c r="C21" s="9"/>
      <c r="D21" s="9"/>
      <c r="E21" s="33"/>
      <c r="F21" s="34"/>
      <c r="G21" s="33"/>
      <c r="H21" s="33"/>
      <c r="I21" s="33"/>
    </row>
    <row r="22" spans="3:9" ht="22.9" customHeight="1" x14ac:dyDescent="0.2">
      <c r="C22" s="1" t="s">
        <v>51</v>
      </c>
      <c r="D22" s="1"/>
      <c r="E22" s="1"/>
      <c r="F22" s="1"/>
      <c r="G22" s="1"/>
      <c r="H22" s="1"/>
      <c r="I22" s="1"/>
    </row>
    <row r="23" spans="3:9" ht="27" customHeight="1" x14ac:dyDescent="0.2">
      <c r="C23" s="28" t="s">
        <v>17</v>
      </c>
      <c r="D23" s="32" t="s">
        <v>18</v>
      </c>
      <c r="E23" s="30" t="s">
        <v>19</v>
      </c>
      <c r="F23" s="31"/>
      <c r="G23" s="31" t="s">
        <v>20</v>
      </c>
      <c r="H23" s="31" t="s">
        <v>21</v>
      </c>
      <c r="I23" s="28" t="s">
        <v>22</v>
      </c>
    </row>
    <row r="24" spans="3:9" ht="12.75" customHeight="1" x14ac:dyDescent="0.2">
      <c r="C24" s="31" t="s">
        <v>23</v>
      </c>
      <c r="D24" s="32" t="s">
        <v>24</v>
      </c>
      <c r="E24" s="30" t="s">
        <v>25</v>
      </c>
      <c r="F24" s="35" t="s">
        <v>26</v>
      </c>
      <c r="G24" s="31" t="s">
        <v>52</v>
      </c>
      <c r="H24" s="31" t="s">
        <v>53</v>
      </c>
      <c r="I24" s="31" t="s">
        <v>54</v>
      </c>
    </row>
    <row r="25" spans="3:9" ht="12.75" customHeight="1" x14ac:dyDescent="0.2">
      <c r="C25" s="31" t="s">
        <v>30</v>
      </c>
      <c r="D25" s="32" t="s">
        <v>31</v>
      </c>
      <c r="E25" s="30" t="s">
        <v>32</v>
      </c>
      <c r="F25" s="35" t="s">
        <v>33</v>
      </c>
      <c r="G25" s="31" t="s">
        <v>55</v>
      </c>
      <c r="H25" s="31" t="s">
        <v>56</v>
      </c>
      <c r="I25" s="31" t="s">
        <v>57</v>
      </c>
    </row>
    <row r="26" spans="3:9" ht="12.75" customHeight="1" x14ac:dyDescent="0.2">
      <c r="C26" s="31" t="s">
        <v>37</v>
      </c>
      <c r="D26" s="32" t="s">
        <v>38</v>
      </c>
      <c r="E26" s="30" t="s">
        <v>39</v>
      </c>
      <c r="F26" s="35" t="s">
        <v>40</v>
      </c>
      <c r="G26" s="31" t="s">
        <v>58</v>
      </c>
      <c r="H26" s="31" t="s">
        <v>59</v>
      </c>
      <c r="I26" s="31" t="s">
        <v>60</v>
      </c>
    </row>
    <row r="27" spans="3:9" ht="12.75" customHeight="1" x14ac:dyDescent="0.2">
      <c r="C27" s="31" t="s">
        <v>44</v>
      </c>
      <c r="D27" s="32" t="s">
        <v>45</v>
      </c>
      <c r="E27" s="30" t="s">
        <v>46</v>
      </c>
      <c r="F27" s="35" t="s">
        <v>47</v>
      </c>
      <c r="G27" s="31" t="s">
        <v>61</v>
      </c>
      <c r="H27" s="31" t="s">
        <v>62</v>
      </c>
      <c r="I27" s="31" t="s">
        <v>63</v>
      </c>
    </row>
    <row r="28" spans="3:9" ht="12.75" customHeight="1" x14ac:dyDescent="0.2">
      <c r="D28" s="15"/>
    </row>
    <row r="29" spans="3:9" ht="12.75" customHeight="1" x14ac:dyDescent="0.2"/>
    <row r="30" spans="3:9" ht="12.75" customHeight="1" x14ac:dyDescent="0.2"/>
    <row r="31" spans="3:9" ht="12.75" customHeight="1" x14ac:dyDescent="0.2"/>
    <row r="32" spans="3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sheetProtection algorithmName="SHA-512" hashValue="Gprb2NkmroWVnGnjhmnwYhc2ZSma5dx3YJyw3XHOTmn07i8ah3/tiLUabpEREXoQBs6VjBj8JaJNr9FN151xEw==" saltValue="QEGBdAEGNNObtjmbOT578Q==" spinCount="100000" sheet="1" objects="1" scenarios="1"/>
  <mergeCells count="8">
    <mergeCell ref="F13:I13"/>
    <mergeCell ref="C15:I15"/>
    <mergeCell ref="C22:I22"/>
    <mergeCell ref="C1:H1"/>
    <mergeCell ref="C2:E2"/>
    <mergeCell ref="I3:I11"/>
    <mergeCell ref="D8:G8"/>
    <mergeCell ref="D9:G9"/>
  </mergeCells>
  <dataValidations count="1">
    <dataValidation type="list" allowBlank="1" showInputMessage="1" showErrorMessage="1" prompt=" - " sqref="D9" xr:uid="{00000000-0002-0000-0000-000000000000}">
      <formula1>Материал_freelight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9"/>
  <sheetViews>
    <sheetView topLeftCell="K1" zoomScaleNormal="100" workbookViewId="0">
      <selection activeCell="V7" sqref="V7"/>
    </sheetView>
  </sheetViews>
  <sheetFormatPr defaultColWidth="10.28515625" defaultRowHeight="12.75" x14ac:dyDescent="0.2"/>
  <cols>
    <col min="1" max="10" width="10.28515625" style="36" hidden="1"/>
    <col min="11" max="11" width="17.140625" style="36" customWidth="1"/>
    <col min="12" max="1024" width="10.28515625" style="36"/>
  </cols>
  <sheetData>
    <row r="1" spans="1:16" ht="12.75" customHeight="1" x14ac:dyDescent="0.2"/>
    <row r="2" spans="1:16" ht="25.5" customHeight="1" x14ac:dyDescent="0.2">
      <c r="G2" s="37" t="s">
        <v>65</v>
      </c>
      <c r="P2" s="38"/>
    </row>
    <row r="3" spans="1:16" ht="15.75" customHeight="1" x14ac:dyDescent="0.2">
      <c r="A3" s="45" t="s">
        <v>66</v>
      </c>
      <c r="B3" s="45"/>
      <c r="C3" s="45"/>
      <c r="D3" s="45"/>
      <c r="E3" s="45"/>
      <c r="F3" s="45"/>
      <c r="G3" s="39" t="e">
        <f>#REF!/100*0.1</f>
        <v>#REF!</v>
      </c>
      <c r="M3" s="46"/>
      <c r="N3" s="46"/>
      <c r="O3" s="46"/>
      <c r="P3" s="40"/>
    </row>
    <row r="4" spans="1:16" ht="15.75" customHeight="1" x14ac:dyDescent="0.2">
      <c r="M4" s="47"/>
      <c r="N4" s="47"/>
      <c r="O4" s="47"/>
      <c r="P4" s="40"/>
    </row>
    <row r="5" spans="1:16" ht="15.75" customHeight="1" x14ac:dyDescent="0.2">
      <c r="A5" s="48" t="s">
        <v>67</v>
      </c>
      <c r="B5" s="48"/>
      <c r="C5" s="48"/>
      <c r="D5" s="48"/>
      <c r="E5" s="48"/>
      <c r="F5" s="48"/>
      <c r="G5" s="39" t="e">
        <f>(#REF!/1000)*(#REF!/1000)*#REF!*0.7+$G$3</f>
        <v>#REF!</v>
      </c>
      <c r="H5" s="42"/>
      <c r="I5" s="39" t="e">
        <f>((#REF!/1000)*(#REF!/1000)*#REF!*0.7)/2</f>
        <v>#REF!</v>
      </c>
      <c r="J5" s="39" t="e">
        <f>((#REF!/1000)*(#REF!/1000)*#REF!*0.7)/2+$G$3</f>
        <v>#REF!</v>
      </c>
      <c r="M5" s="47"/>
      <c r="N5" s="47"/>
      <c r="O5" s="47"/>
      <c r="P5" s="40"/>
    </row>
    <row r="6" spans="1:16" ht="15.75" customHeight="1" x14ac:dyDescent="0.2">
      <c r="A6" s="48" t="s">
        <v>10</v>
      </c>
      <c r="B6" s="48"/>
      <c r="C6" s="48"/>
      <c r="D6" s="48"/>
      <c r="E6" s="48"/>
      <c r="F6" s="48"/>
      <c r="G6" s="43" t="e">
        <f>(#REF!/1000)*(#REF!/1000)*#REF!*0.8+$G$3</f>
        <v>#REF!</v>
      </c>
      <c r="H6" s="42"/>
      <c r="I6" s="43" t="e">
        <f>((#REF!/1000)*(#REF!/1000)*#REF!*0.8)/2</f>
        <v>#REF!</v>
      </c>
      <c r="J6" s="43" t="e">
        <f>((#REF!/1000)*(#REF!/1000)*#REF!*0.8)/2+$G$3</f>
        <v>#REF!</v>
      </c>
      <c r="M6" s="47"/>
      <c r="N6" s="47"/>
      <c r="O6" s="47"/>
      <c r="P6" s="44"/>
    </row>
    <row r="7" spans="1:16" ht="15.75" customHeight="1" x14ac:dyDescent="0.2">
      <c r="A7" s="48" t="s">
        <v>68</v>
      </c>
      <c r="B7" s="48"/>
      <c r="C7" s="48"/>
      <c r="D7" s="48"/>
      <c r="E7" s="48"/>
      <c r="F7" s="48"/>
      <c r="G7" s="39" t="e">
        <f>(((#REF!/1000)*0.06+(#REF!/1000)*0.06)*2)*19*0.8+((#REF!/1000)*(#REF!/1000)*4*2.5)+$G$3</f>
        <v>#REF!</v>
      </c>
      <c r="H7" s="42"/>
      <c r="I7" s="39" t="e">
        <f>((((#REF!/1000)*0.06+(#REF!/1000)*0.06)*2)*19*0.8+((#REF!/1000)*(#REF!/1000)*4*2.5))/2</f>
        <v>#REF!</v>
      </c>
      <c r="J7" s="39" t="e">
        <f>((((#REF!/1000)*0.06+(#REF!/1000)*0.06)*2)*19*0.8+((#REF!/1000)*(#REF!/1000)*4*2.5))/2+$G$3</f>
        <v>#REF!</v>
      </c>
      <c r="M7" s="41"/>
      <c r="N7" s="41"/>
      <c r="O7" s="41"/>
      <c r="P7" s="44"/>
    </row>
    <row r="8" spans="1:16" ht="27.75" customHeight="1" x14ac:dyDescent="0.2">
      <c r="A8" s="48" t="s">
        <v>69</v>
      </c>
      <c r="B8" s="48"/>
      <c r="C8" s="48"/>
      <c r="D8" s="48"/>
      <c r="E8" s="48"/>
      <c r="F8" s="48"/>
      <c r="G8" s="39" t="e">
        <f>((#REF!/1000)*(#REF!/1000)*16*0.7)+((#REF!/1000)*(#REF!/1000)*4*2.5)+$G$3</f>
        <v>#REF!</v>
      </c>
      <c r="H8" s="42"/>
      <c r="I8" s="39" t="e">
        <f>(((#REF!/1000)*(#REF!/1000)*16*0.7)+((#REF!/1000)*(#REF!/1000)*4*2.5))/2</f>
        <v>#REF!</v>
      </c>
      <c r="J8" s="39" t="e">
        <f>(((#REF!/1000)*(#REF!/1000)*16*0.7)+((#REF!/1000)*(#REF!/1000)*4*2.5))/2+$G$3</f>
        <v>#REF!</v>
      </c>
      <c r="M8" s="47"/>
      <c r="N8" s="47"/>
      <c r="O8" s="47"/>
      <c r="P8" s="44"/>
    </row>
    <row r="9" spans="1:16" ht="15.75" customHeight="1" x14ac:dyDescent="0.2">
      <c r="A9" s="48"/>
      <c r="B9" s="48"/>
      <c r="C9" s="48"/>
      <c r="D9" s="48"/>
      <c r="E9" s="48"/>
      <c r="F9" s="48"/>
      <c r="G9" s="43">
        <v>0</v>
      </c>
      <c r="H9" s="42"/>
      <c r="I9" s="43">
        <v>0</v>
      </c>
      <c r="J9" s="43">
        <v>0</v>
      </c>
      <c r="M9" s="47"/>
      <c r="N9" s="47"/>
      <c r="O9" s="47"/>
      <c r="P9" s="44"/>
    </row>
    <row r="10" spans="1:16" ht="15.75" customHeight="1" x14ac:dyDescent="0.2">
      <c r="A10" s="48" t="s">
        <v>64</v>
      </c>
      <c r="B10" s="48"/>
      <c r="C10" s="48"/>
      <c r="D10" s="48"/>
      <c r="E10" s="48"/>
      <c r="F10" s="48"/>
      <c r="G10" s="39" t="e">
        <f>(#REF!/1000)*(#REF!/1000)*4*2.5+((#REF!/1000)*2+(#REF!/1000)*2)*0.5+$G$3</f>
        <v>#REF!</v>
      </c>
      <c r="H10" s="42"/>
      <c r="I10" s="39" t="e">
        <f>((#REF!/1000)*(#REF!/1000)*4*2.5+((#REF!/1000)*2+(#REF!/1000)*2)*0.5)/2</f>
        <v>#REF!</v>
      </c>
      <c r="J10" s="39" t="e">
        <f>((#REF!/1000)*(#REF!/1000)*4*2.5+((#REF!/1000)*2+(#REF!/1000)*2)*0.5)/2+$G$3</f>
        <v>#REF!</v>
      </c>
      <c r="M10" s="47"/>
      <c r="N10" s="47"/>
      <c r="O10" s="47"/>
      <c r="P10" s="40"/>
    </row>
    <row r="11" spans="1:16" ht="33" customHeight="1" x14ac:dyDescent="0.2">
      <c r="A11" s="48" t="s">
        <v>70</v>
      </c>
      <c r="B11" s="48"/>
      <c r="C11" s="48"/>
      <c r="D11" s="48"/>
      <c r="E11" s="48"/>
      <c r="F11" s="48"/>
      <c r="G11" s="43" t="e">
        <f>(#REF!/1000)*(#REF!/1000)*#REF!*0.68+$G$3</f>
        <v>#REF!</v>
      </c>
      <c r="H11" s="42"/>
      <c r="I11" s="43" t="e">
        <f>((#REF!/1000)*(#REF!/1000)*#REF!*0.68)/2</f>
        <v>#REF!</v>
      </c>
      <c r="J11" s="43" t="e">
        <f>((#REF!/1000)*(#REF!/1000)*#REF!*0.68)/2+$G$3</f>
        <v>#REF!</v>
      </c>
      <c r="M11" s="47"/>
      <c r="N11" s="47"/>
      <c r="O11" s="47"/>
      <c r="P11" s="40"/>
    </row>
    <row r="12" spans="1:16" ht="15.75" customHeight="1" x14ac:dyDescent="0.2">
      <c r="A12" s="48" t="s">
        <v>71</v>
      </c>
      <c r="B12" s="48"/>
      <c r="C12" s="48"/>
      <c r="D12" s="48"/>
      <c r="E12" s="48"/>
      <c r="F12" s="48"/>
      <c r="G12" s="39" t="e">
        <f>(#REF!/1000)*(#REF!/1000)*#REF!*0.69+$G$3</f>
        <v>#REF!</v>
      </c>
      <c r="H12" s="42"/>
      <c r="I12" s="39" t="e">
        <f>((#REF!/1000)*(#REF!/1000)*#REF!*0.69)/2</f>
        <v>#REF!</v>
      </c>
      <c r="J12" s="39" t="e">
        <f>((#REF!/1000)*(#REF!/1000)*#REF!*0.69)/2+$G$3</f>
        <v>#REF!</v>
      </c>
      <c r="M12" s="47"/>
      <c r="N12" s="47"/>
      <c r="O12" s="47"/>
      <c r="P12" s="40"/>
    </row>
    <row r="13" spans="1:16" ht="15.75" customHeight="1" x14ac:dyDescent="0.2">
      <c r="A13" s="48" t="s">
        <v>72</v>
      </c>
      <c r="B13" s="48"/>
      <c r="C13" s="48"/>
      <c r="D13" s="48"/>
      <c r="E13" s="48"/>
      <c r="F13" s="48"/>
      <c r="G13" s="43" t="e">
        <f>(#REF!/1000)*(#REF!/1000)*#REF!*0.56+$G$3</f>
        <v>#REF!</v>
      </c>
      <c r="H13" s="42"/>
      <c r="I13" s="43" t="e">
        <f>((#REF!/1000)*(#REF!/1000)*#REF!*0.56)/2</f>
        <v>#REF!</v>
      </c>
      <c r="J13" s="43" t="e">
        <f>((#REF!/1000)*(#REF!/1000)*#REF!*0.56)/2+$G$3</f>
        <v>#REF!</v>
      </c>
      <c r="M13" s="47"/>
      <c r="N13" s="47"/>
      <c r="O13" s="47"/>
      <c r="P13" s="44"/>
    </row>
    <row r="14" spans="1:16" ht="15.75" customHeight="1" x14ac:dyDescent="0.2">
      <c r="M14" s="47"/>
      <c r="N14" s="47"/>
      <c r="O14" s="47"/>
      <c r="P14" s="40"/>
    </row>
    <row r="15" spans="1:16" ht="15.75" customHeight="1" x14ac:dyDescent="0.2">
      <c r="G15" s="43" t="e">
        <f>#REF!*1</f>
        <v>#REF!</v>
      </c>
      <c r="I15" s="43" t="e">
        <f>#REF!*1</f>
        <v>#REF!</v>
      </c>
      <c r="J15" s="43" t="e">
        <f>#REF!*1</f>
        <v>#REF!</v>
      </c>
      <c r="M15" s="47"/>
      <c r="N15" s="47"/>
      <c r="O15" s="47"/>
      <c r="P15" s="44"/>
    </row>
    <row r="16" spans="1:16" ht="12.75" customHeight="1" x14ac:dyDescent="0.2"/>
    <row r="17" spans="9:16" ht="12.75" customHeight="1" x14ac:dyDescent="0.2">
      <c r="I17" s="43" t="e">
        <f>I15+J15</f>
        <v>#REF!</v>
      </c>
      <c r="P17" s="44"/>
    </row>
    <row r="18" spans="9:16" ht="12.75" customHeight="1" x14ac:dyDescent="0.2"/>
    <row r="19" spans="9:16" ht="12.75" customHeight="1" x14ac:dyDescent="0.2"/>
  </sheetData>
  <sheetProtection algorithmName="SHA-512" hashValue="Lh8oD/7v8dh4fthBtVSuFqsWC1B4vX1AXSgcRiKjLhl1m5Yaew8kPy6XzBGcBs75fboR86x2JEVFUqvVYUucPg==" saltValue="XmM3um9MtIlCS1ty0CGupA==" spinCount="100000" sheet="1" formatCells="0" formatColumns="0" formatRows="0" insertColumns="0" insertRows="0" insertHyperlinks="0" deleteColumns="0" deleteRows="0" sort="0" autoFilter="0" pivotTables="0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9"/>
  <sheetViews>
    <sheetView topLeftCell="K1" zoomScale="90" zoomScaleNormal="90" workbookViewId="0">
      <selection activeCell="T16" sqref="T16"/>
    </sheetView>
  </sheetViews>
  <sheetFormatPr defaultColWidth="10.28515625" defaultRowHeight="12.75" x14ac:dyDescent="0.2"/>
  <cols>
    <col min="1" max="10" width="10.28515625" style="36" hidden="1"/>
    <col min="11" max="1024" width="10.28515625" style="36"/>
  </cols>
  <sheetData>
    <row r="1" spans="1:16" ht="12.75" customHeight="1" x14ac:dyDescent="0.2"/>
    <row r="2" spans="1:16" ht="25.5" customHeight="1" x14ac:dyDescent="0.2">
      <c r="G2" s="37" t="s">
        <v>65</v>
      </c>
      <c r="P2" s="38"/>
    </row>
    <row r="3" spans="1:16" ht="15.75" customHeight="1" x14ac:dyDescent="0.2">
      <c r="A3" s="49" t="s">
        <v>66</v>
      </c>
      <c r="B3" s="49"/>
      <c r="C3" s="49"/>
      <c r="D3" s="49"/>
      <c r="E3" s="49"/>
      <c r="F3" s="49"/>
      <c r="G3" s="39" t="e">
        <f>#REF!/100*0.1</f>
        <v>#REF!</v>
      </c>
      <c r="M3" s="50"/>
      <c r="N3" s="50"/>
      <c r="O3" s="50"/>
      <c r="P3" s="40"/>
    </row>
    <row r="4" spans="1:16" ht="15.75" customHeight="1" x14ac:dyDescent="0.2">
      <c r="M4" s="47"/>
      <c r="N4" s="47"/>
      <c r="O4" s="47"/>
      <c r="P4" s="40"/>
    </row>
    <row r="5" spans="1:16" ht="15.75" customHeight="1" x14ac:dyDescent="0.2">
      <c r="A5" s="48" t="s">
        <v>67</v>
      </c>
      <c r="B5" s="48"/>
      <c r="C5" s="48"/>
      <c r="D5" s="48"/>
      <c r="E5" s="48"/>
      <c r="F5" s="48"/>
      <c r="G5" s="39" t="e">
        <f>(#REF!/1000)*(#REF!/1000)*#REF!*0.7+$G$3</f>
        <v>#REF!</v>
      </c>
      <c r="H5" s="42"/>
      <c r="I5" s="39" t="e">
        <f>((#REF!/1000)*(#REF!/1000)*#REF!*0.7)/2</f>
        <v>#REF!</v>
      </c>
      <c r="J5" s="39" t="e">
        <f>((#REF!/1000)*(#REF!/1000)*#REF!*0.7)/2+$G$3</f>
        <v>#REF!</v>
      </c>
      <c r="M5" s="47"/>
      <c r="N5" s="47"/>
      <c r="O5" s="47"/>
      <c r="P5" s="40"/>
    </row>
    <row r="6" spans="1:16" ht="15.75" customHeight="1" x14ac:dyDescent="0.2">
      <c r="A6" s="48" t="s">
        <v>10</v>
      </c>
      <c r="B6" s="48"/>
      <c r="C6" s="48"/>
      <c r="D6" s="48"/>
      <c r="E6" s="48"/>
      <c r="F6" s="48"/>
      <c r="G6" s="43" t="e">
        <f>(#REF!/1000)*(#REF!/1000)*#REF!*0.8+$G$3</f>
        <v>#REF!</v>
      </c>
      <c r="H6" s="42"/>
      <c r="I6" s="43" t="e">
        <f>((#REF!/1000)*(#REF!/1000)*#REF!*0.8)/2</f>
        <v>#REF!</v>
      </c>
      <c r="J6" s="43" t="e">
        <f>((#REF!/1000)*(#REF!/1000)*#REF!*0.8)/2+$G$3</f>
        <v>#REF!</v>
      </c>
      <c r="M6" s="47"/>
      <c r="N6" s="47"/>
      <c r="O6" s="47"/>
      <c r="P6" s="44"/>
    </row>
    <row r="7" spans="1:16" ht="15.75" customHeight="1" x14ac:dyDescent="0.2">
      <c r="A7" s="48" t="s">
        <v>68</v>
      </c>
      <c r="B7" s="48"/>
      <c r="C7" s="48"/>
      <c r="D7" s="48"/>
      <c r="E7" s="48"/>
      <c r="F7" s="48"/>
      <c r="G7" s="39" t="e">
        <f>(((#REF!/1000)*0.06+(#REF!/1000)*0.06)*2)*19*0.8+((#REF!/1000)*(#REF!/1000)*4*2.5)+$G$3</f>
        <v>#REF!</v>
      </c>
      <c r="H7" s="42"/>
      <c r="I7" s="39" t="e">
        <f>((((#REF!/1000)*0.06+(#REF!/1000)*0.06)*2)*19*0.8+((#REF!/1000)*(#REF!/1000)*4*2.5))/2</f>
        <v>#REF!</v>
      </c>
      <c r="J7" s="39" t="e">
        <f>((((#REF!/1000)*0.06+(#REF!/1000)*0.06)*2)*19*0.8+((#REF!/1000)*(#REF!/1000)*4*2.5))/2+$G$3</f>
        <v>#REF!</v>
      </c>
      <c r="M7" s="41"/>
      <c r="N7" s="41"/>
      <c r="O7" s="41"/>
      <c r="P7" s="44"/>
    </row>
    <row r="8" spans="1:16" ht="27.75" customHeight="1" x14ac:dyDescent="0.2">
      <c r="A8" s="48" t="s">
        <v>69</v>
      </c>
      <c r="B8" s="48"/>
      <c r="C8" s="48"/>
      <c r="D8" s="48"/>
      <c r="E8" s="48"/>
      <c r="F8" s="48"/>
      <c r="G8" s="39" t="e">
        <f>((#REF!/1000)*(#REF!/1000)*16*0.7)+((#REF!/1000)*(#REF!/1000)*4*2.5)+$G$3</f>
        <v>#REF!</v>
      </c>
      <c r="H8" s="42"/>
      <c r="I8" s="39" t="e">
        <f>(((#REF!/1000)*(#REF!/1000)*16*0.7)+((#REF!/1000)*(#REF!/1000)*4*2.5))/2</f>
        <v>#REF!</v>
      </c>
      <c r="J8" s="39" t="e">
        <f>(((#REF!/1000)*(#REF!/1000)*16*0.7)+((#REF!/1000)*(#REF!/1000)*4*2.5))/2+$G$3</f>
        <v>#REF!</v>
      </c>
      <c r="M8" s="47"/>
      <c r="N8" s="47"/>
      <c r="O8" s="47"/>
      <c r="P8" s="44"/>
    </row>
    <row r="9" spans="1:16" ht="15.75" customHeight="1" x14ac:dyDescent="0.2">
      <c r="A9" s="48"/>
      <c r="B9" s="48"/>
      <c r="C9" s="48"/>
      <c r="D9" s="48"/>
      <c r="E9" s="48"/>
      <c r="F9" s="48"/>
      <c r="G9" s="43">
        <v>0</v>
      </c>
      <c r="H9" s="42"/>
      <c r="I9" s="43">
        <v>0</v>
      </c>
      <c r="J9" s="43">
        <v>0</v>
      </c>
      <c r="M9" s="47"/>
      <c r="N9" s="47"/>
      <c r="O9" s="47"/>
      <c r="P9" s="44"/>
    </row>
    <row r="10" spans="1:16" ht="15.75" customHeight="1" x14ac:dyDescent="0.2">
      <c r="A10" s="48" t="s">
        <v>64</v>
      </c>
      <c r="B10" s="48"/>
      <c r="C10" s="48"/>
      <c r="D10" s="48"/>
      <c r="E10" s="48"/>
      <c r="F10" s="48"/>
      <c r="G10" s="39" t="e">
        <f>(#REF!/1000)*(#REF!/1000)*4*2.5+((#REF!/1000)*2+(#REF!/1000)*2)*0.5+$G$3</f>
        <v>#REF!</v>
      </c>
      <c r="H10" s="42"/>
      <c r="I10" s="39" t="e">
        <f>((#REF!/1000)*(#REF!/1000)*4*2.5+((#REF!/1000)*2+(#REF!/1000)*2)*0.5)/2</f>
        <v>#REF!</v>
      </c>
      <c r="J10" s="39" t="e">
        <f>((#REF!/1000)*(#REF!/1000)*4*2.5+((#REF!/1000)*2+(#REF!/1000)*2)*0.5)/2+$G$3</f>
        <v>#REF!</v>
      </c>
      <c r="M10" s="47"/>
      <c r="N10" s="47"/>
      <c r="O10" s="47"/>
      <c r="P10" s="40"/>
    </row>
    <row r="11" spans="1:16" ht="33" customHeight="1" x14ac:dyDescent="0.2">
      <c r="A11" s="48" t="s">
        <v>70</v>
      </c>
      <c r="B11" s="48"/>
      <c r="C11" s="48"/>
      <c r="D11" s="48"/>
      <c r="E11" s="48"/>
      <c r="F11" s="48"/>
      <c r="G11" s="43" t="e">
        <f>(#REF!/1000)*(#REF!/1000)*#REF!*0.68+$G$3</f>
        <v>#REF!</v>
      </c>
      <c r="H11" s="42"/>
      <c r="I11" s="43" t="e">
        <f>((#REF!/1000)*(#REF!/1000)*#REF!*0.68)/2</f>
        <v>#REF!</v>
      </c>
      <c r="J11" s="43" t="e">
        <f>((#REF!/1000)*(#REF!/1000)*#REF!*0.68)/2+$G$3</f>
        <v>#REF!</v>
      </c>
      <c r="M11" s="47"/>
      <c r="N11" s="47"/>
      <c r="O11" s="47"/>
      <c r="P11" s="40"/>
    </row>
    <row r="12" spans="1:16" ht="15.75" customHeight="1" x14ac:dyDescent="0.2">
      <c r="A12" s="48" t="s">
        <v>71</v>
      </c>
      <c r="B12" s="48"/>
      <c r="C12" s="48"/>
      <c r="D12" s="48"/>
      <c r="E12" s="48"/>
      <c r="F12" s="48"/>
      <c r="G12" s="39" t="e">
        <f>(#REF!/1000)*(#REF!/1000)*#REF!*0.69+$G$3</f>
        <v>#REF!</v>
      </c>
      <c r="H12" s="42"/>
      <c r="I12" s="39" t="e">
        <f>((#REF!/1000)*(#REF!/1000)*#REF!*0.69)/2</f>
        <v>#REF!</v>
      </c>
      <c r="J12" s="39" t="e">
        <f>((#REF!/1000)*(#REF!/1000)*#REF!*0.69)/2+$G$3</f>
        <v>#REF!</v>
      </c>
      <c r="M12" s="47"/>
      <c r="N12" s="47"/>
      <c r="O12" s="47"/>
      <c r="P12" s="40"/>
    </row>
    <row r="13" spans="1:16" ht="15.75" customHeight="1" x14ac:dyDescent="0.2">
      <c r="A13" s="48" t="s">
        <v>72</v>
      </c>
      <c r="B13" s="48"/>
      <c r="C13" s="48"/>
      <c r="D13" s="48"/>
      <c r="E13" s="48"/>
      <c r="F13" s="48"/>
      <c r="G13" s="43" t="e">
        <f>(#REF!/1000)*(#REF!/1000)*#REF!*0.56+$G$3</f>
        <v>#REF!</v>
      </c>
      <c r="H13" s="42"/>
      <c r="I13" s="43" t="e">
        <f>((#REF!/1000)*(#REF!/1000)*#REF!*0.56)/2</f>
        <v>#REF!</v>
      </c>
      <c r="J13" s="43" t="e">
        <f>((#REF!/1000)*(#REF!/1000)*#REF!*0.56)/2+$G$3</f>
        <v>#REF!</v>
      </c>
      <c r="M13" s="47"/>
      <c r="N13" s="47"/>
      <c r="O13" s="47"/>
      <c r="P13" s="44"/>
    </row>
    <row r="14" spans="1:16" ht="15.75" customHeight="1" x14ac:dyDescent="0.2">
      <c r="M14" s="47"/>
      <c r="N14" s="47"/>
      <c r="O14" s="47"/>
      <c r="P14" s="40"/>
    </row>
    <row r="15" spans="1:16" ht="15.75" customHeight="1" x14ac:dyDescent="0.2">
      <c r="G15" s="43" t="e">
        <f>#REF!*1</f>
        <v>#REF!</v>
      </c>
      <c r="I15" s="43" t="e">
        <f>#REF!*1</f>
        <v>#REF!</v>
      </c>
      <c r="J15" s="43" t="e">
        <f>#REF!*1</f>
        <v>#REF!</v>
      </c>
      <c r="M15" s="47"/>
      <c r="N15" s="47"/>
      <c r="O15" s="47"/>
      <c r="P15" s="44"/>
    </row>
    <row r="16" spans="1:16" ht="12.75" customHeight="1" x14ac:dyDescent="0.2"/>
    <row r="17" spans="9:16" ht="12.75" customHeight="1" x14ac:dyDescent="0.2">
      <c r="I17" s="43" t="e">
        <f>I15+J15</f>
        <v>#REF!</v>
      </c>
      <c r="P17" s="44"/>
    </row>
    <row r="18" spans="9:16" ht="12.75" customHeight="1" x14ac:dyDescent="0.2"/>
    <row r="19" spans="9:16" ht="12.75" customHeight="1" x14ac:dyDescent="0.2"/>
  </sheetData>
  <sheetProtection algorithmName="SHA-512" hashValue="HLWW8yrg3yvmMVOonfk53geI1VCv4fI1ZJFOjBPYoeh4RjUWyZoAVQpiCnc2/AZifpE2A3tYcxf2DInRmyJBYg==" saltValue="q/0F/sZ6jLxcMsqhynX9bg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9"/>
  <sheetViews>
    <sheetView topLeftCell="K1" zoomScaleNormal="100" workbookViewId="0">
      <selection activeCell="R14" sqref="R14"/>
    </sheetView>
  </sheetViews>
  <sheetFormatPr defaultColWidth="10.28515625" defaultRowHeight="12.75" x14ac:dyDescent="0.2"/>
  <cols>
    <col min="1" max="10" width="11.5703125" style="36" hidden="1" customWidth="1"/>
    <col min="11" max="1024" width="10.28515625" style="36"/>
  </cols>
  <sheetData>
    <row r="1" spans="1:16" ht="12.75" customHeight="1" x14ac:dyDescent="0.2"/>
    <row r="2" spans="1:16" ht="25.5" customHeight="1" x14ac:dyDescent="0.2">
      <c r="G2" s="37" t="s">
        <v>65</v>
      </c>
      <c r="P2" s="38"/>
    </row>
    <row r="3" spans="1:16" ht="15.75" customHeight="1" x14ac:dyDescent="0.2">
      <c r="A3" s="49" t="s">
        <v>66</v>
      </c>
      <c r="B3" s="49"/>
      <c r="C3" s="49"/>
      <c r="D3" s="49"/>
      <c r="E3" s="49"/>
      <c r="F3" s="49"/>
      <c r="G3" s="39" t="e">
        <f>#REF!/100*0.1</f>
        <v>#REF!</v>
      </c>
      <c r="M3" s="50"/>
      <c r="N3" s="50"/>
      <c r="O3" s="50"/>
      <c r="P3" s="40"/>
    </row>
    <row r="4" spans="1:16" ht="15.75" customHeight="1" x14ac:dyDescent="0.2">
      <c r="M4" s="47"/>
      <c r="N4" s="47"/>
      <c r="O4" s="47"/>
      <c r="P4" s="40"/>
    </row>
    <row r="5" spans="1:16" ht="15.75" customHeight="1" x14ac:dyDescent="0.2">
      <c r="A5" s="48" t="s">
        <v>67</v>
      </c>
      <c r="B5" s="48"/>
      <c r="C5" s="48"/>
      <c r="D5" s="48"/>
      <c r="E5" s="48"/>
      <c r="F5" s="48"/>
      <c r="G5" s="39" t="e">
        <f>(#REF!/1000)*(#REF!/1000)*#REF!*0.7+$G$3</f>
        <v>#REF!</v>
      </c>
      <c r="H5" s="42"/>
      <c r="I5" s="39" t="e">
        <f>((#REF!/1000)*(#REF!/1000)*#REF!*0.7)/2</f>
        <v>#REF!</v>
      </c>
      <c r="J5" s="39" t="e">
        <f>((#REF!/1000)*(#REF!/1000)*#REF!*0.7)/2+$G$3</f>
        <v>#REF!</v>
      </c>
      <c r="M5" s="47"/>
      <c r="N5" s="47"/>
      <c r="O5" s="47"/>
      <c r="P5" s="40"/>
    </row>
    <row r="6" spans="1:16" ht="15.75" customHeight="1" x14ac:dyDescent="0.2">
      <c r="A6" s="48" t="s">
        <v>10</v>
      </c>
      <c r="B6" s="48"/>
      <c r="C6" s="48"/>
      <c r="D6" s="48"/>
      <c r="E6" s="48"/>
      <c r="F6" s="48"/>
      <c r="G6" s="43" t="e">
        <f>(#REF!/1000)*(#REF!/1000)*#REF!*0.8+$G$3</f>
        <v>#REF!</v>
      </c>
      <c r="H6" s="42"/>
      <c r="I6" s="43" t="e">
        <f>((#REF!/1000)*(#REF!/1000)*#REF!*0.8)/2</f>
        <v>#REF!</v>
      </c>
      <c r="J6" s="43" t="e">
        <f>((#REF!/1000)*(#REF!/1000)*#REF!*0.8)/2+$G$3</f>
        <v>#REF!</v>
      </c>
      <c r="M6" s="47"/>
      <c r="N6" s="47"/>
      <c r="O6" s="47"/>
      <c r="P6" s="44"/>
    </row>
    <row r="7" spans="1:16" ht="15.75" customHeight="1" x14ac:dyDescent="0.2">
      <c r="A7" s="48" t="s">
        <v>68</v>
      </c>
      <c r="B7" s="48"/>
      <c r="C7" s="48"/>
      <c r="D7" s="48"/>
      <c r="E7" s="48"/>
      <c r="F7" s="48"/>
      <c r="G7" s="39" t="e">
        <f>(((#REF!/1000)*0.06+(#REF!/1000)*0.06)*2)*19*0.8+((#REF!/1000)*(#REF!/1000)*4*2.5)+$G$3</f>
        <v>#REF!</v>
      </c>
      <c r="H7" s="42"/>
      <c r="I7" s="39" t="e">
        <f>((((#REF!/1000)*0.06+(#REF!/1000)*0.06)*2)*19*0.8+((#REF!/1000)*(#REF!/1000)*4*2.5))/2</f>
        <v>#REF!</v>
      </c>
      <c r="J7" s="39" t="e">
        <f>((((#REF!/1000)*0.06+(#REF!/1000)*0.06)*2)*19*0.8+((#REF!/1000)*(#REF!/1000)*4*2.5))/2+$G$3</f>
        <v>#REF!</v>
      </c>
      <c r="M7" s="41"/>
      <c r="N7" s="41"/>
      <c r="O7" s="41"/>
      <c r="P7" s="44"/>
    </row>
    <row r="8" spans="1:16" ht="27.75" customHeight="1" x14ac:dyDescent="0.2">
      <c r="A8" s="48" t="s">
        <v>69</v>
      </c>
      <c r="B8" s="48"/>
      <c r="C8" s="48"/>
      <c r="D8" s="48"/>
      <c r="E8" s="48"/>
      <c r="F8" s="48"/>
      <c r="G8" s="39" t="e">
        <f>((#REF!/1000)*(#REF!/1000)*16*0.7)+((#REF!/1000)*(#REF!/1000)*4*2.5)+$G$3</f>
        <v>#REF!</v>
      </c>
      <c r="H8" s="42"/>
      <c r="I8" s="39" t="e">
        <f>(((#REF!/1000)*(#REF!/1000)*16*0.7)+((#REF!/1000)*(#REF!/1000)*4*2.5))/2</f>
        <v>#REF!</v>
      </c>
      <c r="J8" s="39" t="e">
        <f>(((#REF!/1000)*(#REF!/1000)*16*0.7)+((#REF!/1000)*(#REF!/1000)*4*2.5))/2+$G$3</f>
        <v>#REF!</v>
      </c>
      <c r="M8" s="47"/>
      <c r="N8" s="47"/>
      <c r="O8" s="47"/>
      <c r="P8" s="44"/>
    </row>
    <row r="9" spans="1:16" ht="15.75" customHeight="1" x14ac:dyDescent="0.2">
      <c r="A9" s="48"/>
      <c r="B9" s="48"/>
      <c r="C9" s="48"/>
      <c r="D9" s="48"/>
      <c r="E9" s="48"/>
      <c r="F9" s="48"/>
      <c r="G9" s="43">
        <v>0</v>
      </c>
      <c r="H9" s="42"/>
      <c r="I9" s="43">
        <v>0</v>
      </c>
      <c r="J9" s="43">
        <v>0</v>
      </c>
      <c r="M9" s="47"/>
      <c r="N9" s="47"/>
      <c r="O9" s="47"/>
      <c r="P9" s="44"/>
    </row>
    <row r="10" spans="1:16" ht="15.75" customHeight="1" x14ac:dyDescent="0.2">
      <c r="A10" s="48" t="s">
        <v>64</v>
      </c>
      <c r="B10" s="48"/>
      <c r="C10" s="48"/>
      <c r="D10" s="48"/>
      <c r="E10" s="48"/>
      <c r="F10" s="48"/>
      <c r="G10" s="39" t="e">
        <f>(#REF!/1000)*(#REF!/1000)*4*2.5+((#REF!/1000)*2+(#REF!/1000)*2)*0.5+$G$3</f>
        <v>#REF!</v>
      </c>
      <c r="H10" s="42"/>
      <c r="I10" s="39" t="e">
        <f>((#REF!/1000)*(#REF!/1000)*4*2.5+((#REF!/1000)*2+(#REF!/1000)*2)*0.5)/2</f>
        <v>#REF!</v>
      </c>
      <c r="J10" s="39" t="e">
        <f>((#REF!/1000)*(#REF!/1000)*4*2.5+((#REF!/1000)*2+(#REF!/1000)*2)*0.5)/2+$G$3</f>
        <v>#REF!</v>
      </c>
      <c r="M10" s="47"/>
      <c r="N10" s="47"/>
      <c r="O10" s="47"/>
      <c r="P10" s="40"/>
    </row>
    <row r="11" spans="1:16" ht="33" customHeight="1" x14ac:dyDescent="0.2">
      <c r="A11" s="48" t="s">
        <v>70</v>
      </c>
      <c r="B11" s="48"/>
      <c r="C11" s="48"/>
      <c r="D11" s="48"/>
      <c r="E11" s="48"/>
      <c r="F11" s="48"/>
      <c r="G11" s="43" t="e">
        <f>(#REF!/1000)*(#REF!/1000)*#REF!*0.68+$G$3</f>
        <v>#REF!</v>
      </c>
      <c r="H11" s="42"/>
      <c r="I11" s="43" t="e">
        <f>((#REF!/1000)*(#REF!/1000)*#REF!*0.68)/2</f>
        <v>#REF!</v>
      </c>
      <c r="J11" s="43" t="e">
        <f>((#REF!/1000)*(#REF!/1000)*#REF!*0.68)/2+$G$3</f>
        <v>#REF!</v>
      </c>
      <c r="M11" s="47"/>
      <c r="N11" s="47"/>
      <c r="O11" s="47"/>
      <c r="P11" s="40"/>
    </row>
    <row r="12" spans="1:16" ht="15.75" customHeight="1" x14ac:dyDescent="0.2">
      <c r="A12" s="48" t="s">
        <v>71</v>
      </c>
      <c r="B12" s="48"/>
      <c r="C12" s="48"/>
      <c r="D12" s="48"/>
      <c r="E12" s="48"/>
      <c r="F12" s="48"/>
      <c r="G12" s="39" t="e">
        <f>(#REF!/1000)*(#REF!/1000)*#REF!*0.69+$G$3</f>
        <v>#REF!</v>
      </c>
      <c r="H12" s="42"/>
      <c r="I12" s="39" t="e">
        <f>((#REF!/1000)*(#REF!/1000)*#REF!*0.69)/2</f>
        <v>#REF!</v>
      </c>
      <c r="J12" s="39" t="e">
        <f>((#REF!/1000)*(#REF!/1000)*#REF!*0.69)/2+$G$3</f>
        <v>#REF!</v>
      </c>
      <c r="M12" s="47"/>
      <c r="N12" s="47"/>
      <c r="O12" s="47"/>
      <c r="P12" s="40"/>
    </row>
    <row r="13" spans="1:16" ht="15.75" customHeight="1" x14ac:dyDescent="0.2">
      <c r="A13" s="48" t="s">
        <v>72</v>
      </c>
      <c r="B13" s="48"/>
      <c r="C13" s="48"/>
      <c r="D13" s="48"/>
      <c r="E13" s="48"/>
      <c r="F13" s="48"/>
      <c r="G13" s="43" t="e">
        <f>(#REF!/1000)*(#REF!/1000)*#REF!*0.56+$G$3</f>
        <v>#REF!</v>
      </c>
      <c r="H13" s="42"/>
      <c r="I13" s="43" t="e">
        <f>((#REF!/1000)*(#REF!/1000)*#REF!*0.56)/2</f>
        <v>#REF!</v>
      </c>
      <c r="J13" s="43" t="e">
        <f>((#REF!/1000)*(#REF!/1000)*#REF!*0.56)/2+$G$3</f>
        <v>#REF!</v>
      </c>
      <c r="M13" s="47"/>
      <c r="N13" s="47"/>
      <c r="O13" s="47"/>
      <c r="P13" s="44"/>
    </row>
    <row r="14" spans="1:16" ht="15.75" customHeight="1" x14ac:dyDescent="0.2">
      <c r="M14" s="47"/>
      <c r="N14" s="47"/>
      <c r="O14" s="47"/>
      <c r="P14" s="40"/>
    </row>
    <row r="15" spans="1:16" ht="15.75" customHeight="1" x14ac:dyDescent="0.2">
      <c r="G15" s="43" t="e">
        <f>#REF!*1</f>
        <v>#REF!</v>
      </c>
      <c r="I15" s="43" t="e">
        <f>#REF!*1</f>
        <v>#REF!</v>
      </c>
      <c r="J15" s="43" t="e">
        <f>#REF!*1</f>
        <v>#REF!</v>
      </c>
      <c r="M15" s="47"/>
      <c r="N15" s="47"/>
      <c r="O15" s="47"/>
      <c r="P15" s="44"/>
    </row>
    <row r="16" spans="1:16" ht="12.75" customHeight="1" x14ac:dyDescent="0.2"/>
    <row r="17" spans="9:16" ht="12.75" customHeight="1" x14ac:dyDescent="0.2">
      <c r="I17" s="43" t="e">
        <f>I15+J15</f>
        <v>#REF!</v>
      </c>
      <c r="P17" s="44"/>
    </row>
    <row r="18" spans="9:16" ht="12.75" customHeight="1" x14ac:dyDescent="0.2"/>
    <row r="19" spans="9:16" ht="12.75" customHeight="1" x14ac:dyDescent="0.2"/>
  </sheetData>
  <sheetProtection algorithmName="SHA-512" hashValue="xtY6OmcK70IY7/bIkzpd2RVqO1d/0rrbhMlhMUWE1fMaLdB5rQ3UVe2AQtiogja6+QvE62Hek8hVan9eT9RwLA==" saltValue="mRuE9kgu9WRciksodab/dg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9"/>
  <sheetViews>
    <sheetView topLeftCell="K1" zoomScaleNormal="100" workbookViewId="0">
      <selection activeCell="R14" sqref="R14"/>
    </sheetView>
  </sheetViews>
  <sheetFormatPr defaultColWidth="10.28515625" defaultRowHeight="12.75" x14ac:dyDescent="0.2"/>
  <cols>
    <col min="1" max="10" width="11.5703125" style="36" hidden="1" customWidth="1"/>
    <col min="11" max="11" width="17.140625" style="36" customWidth="1"/>
    <col min="12" max="1024" width="10.28515625" style="36"/>
  </cols>
  <sheetData>
    <row r="1" spans="1:16" ht="12.75" customHeight="1" x14ac:dyDescent="0.2"/>
    <row r="2" spans="1:16" ht="25.5" customHeight="1" x14ac:dyDescent="0.2">
      <c r="G2" s="37" t="s">
        <v>65</v>
      </c>
      <c r="P2" s="38"/>
    </row>
    <row r="3" spans="1:16" ht="15.75" customHeight="1" x14ac:dyDescent="0.2">
      <c r="A3" s="45" t="s">
        <v>66</v>
      </c>
      <c r="B3" s="45"/>
      <c r="C3" s="45"/>
      <c r="D3" s="45"/>
      <c r="E3" s="45"/>
      <c r="F3" s="45"/>
      <c r="G3" s="39">
        <f>HORIZON!D6/100*0.1</f>
        <v>0.35000000000000003</v>
      </c>
      <c r="M3" s="46"/>
      <c r="N3" s="46"/>
      <c r="O3" s="46"/>
      <c r="P3" s="40"/>
    </row>
    <row r="4" spans="1:16" ht="15.75" customHeight="1" x14ac:dyDescent="0.2">
      <c r="M4" s="47"/>
      <c r="N4" s="47"/>
      <c r="O4" s="47"/>
      <c r="P4" s="40"/>
    </row>
    <row r="5" spans="1:16" ht="15.75" customHeight="1" x14ac:dyDescent="0.2">
      <c r="A5" s="48" t="s">
        <v>67</v>
      </c>
      <c r="B5" s="48"/>
      <c r="C5" s="48"/>
      <c r="D5" s="48"/>
      <c r="E5" s="48"/>
      <c r="F5" s="48"/>
      <c r="G5" s="39">
        <f>(HORIZON!D3/1000)*(HORIZON!D4/1000)*HORIZON!D5*0.7+$G$3</f>
        <v>6.6436999999999999</v>
      </c>
      <c r="H5" s="42"/>
      <c r="I5" s="39">
        <f>((HORIZON!D3/1000)*(HORIZON!D4/1000)*HORIZON!D5*0.7)/2</f>
        <v>3.1468500000000001</v>
      </c>
      <c r="J5" s="39">
        <f>((HORIZON!D3/1000)*(HORIZON!D4/1000)*HORIZON!D5*0.7)/2+$G$3</f>
        <v>3.4968500000000002</v>
      </c>
      <c r="M5" s="47"/>
      <c r="N5" s="47"/>
      <c r="O5" s="47"/>
      <c r="P5" s="40"/>
    </row>
    <row r="6" spans="1:16" ht="15.75" customHeight="1" x14ac:dyDescent="0.2">
      <c r="A6" s="48" t="s">
        <v>10</v>
      </c>
      <c r="B6" s="48"/>
      <c r="C6" s="48"/>
      <c r="D6" s="48"/>
      <c r="E6" s="48"/>
      <c r="F6" s="48"/>
      <c r="G6" s="43">
        <f>(HORIZON!D3/1000)*(HORIZON!D4/1000)*HORIZON!D5*0.8+$G$3</f>
        <v>7.5428000000000015</v>
      </c>
      <c r="H6" s="42"/>
      <c r="I6" s="43">
        <f>((HORIZON!D3/1000)*(HORIZON!D4/1000)*HORIZON!D5*0.8)/2</f>
        <v>3.5964000000000009</v>
      </c>
      <c r="J6" s="43">
        <f>((HORIZON!D3/1000)*(HORIZON!D4/1000)*HORIZON!D5*0.8)/2+$G$3</f>
        <v>3.946400000000001</v>
      </c>
      <c r="M6" s="47"/>
      <c r="N6" s="47"/>
      <c r="O6" s="47"/>
      <c r="P6" s="44"/>
    </row>
    <row r="7" spans="1:16" ht="15.75" customHeight="1" x14ac:dyDescent="0.2">
      <c r="A7" s="48" t="s">
        <v>68</v>
      </c>
      <c r="B7" s="48"/>
      <c r="C7" s="48"/>
      <c r="D7" s="48"/>
      <c r="E7" s="48"/>
      <c r="F7" s="48"/>
      <c r="G7" s="39">
        <f>(((HORIZON!D3/1000)*0.06+(HORIZON!D4/1000)*0.06)*2)*19*0.8+((HORIZON!D3/1000)*(HORIZON!D4/1000)*4*2.5)+$G$3</f>
        <v>7.9989200000000009</v>
      </c>
      <c r="H7" s="42"/>
      <c r="I7" s="39">
        <f>((((HORIZON!D3/1000)*0.06+(HORIZON!D4/1000)*0.06)*2)*19*0.8+((HORIZON!D3/1000)*(HORIZON!D4/1000)*4*2.5))/2</f>
        <v>3.8244600000000006</v>
      </c>
      <c r="J7" s="39">
        <f>((((HORIZON!D3/1000)*0.06+(HORIZON!D4/1000)*0.06)*2)*19*0.8+((HORIZON!D3/1000)*(HORIZON!D4/1000)*4*2.5))/2+$G$3</f>
        <v>4.1744600000000007</v>
      </c>
      <c r="M7" s="41"/>
      <c r="N7" s="41"/>
      <c r="O7" s="41"/>
      <c r="P7" s="44"/>
    </row>
    <row r="8" spans="1:16" ht="27.75" customHeight="1" x14ac:dyDescent="0.2">
      <c r="A8" s="48" t="s">
        <v>69</v>
      </c>
      <c r="B8" s="48"/>
      <c r="C8" s="48"/>
      <c r="D8" s="48"/>
      <c r="E8" s="48"/>
      <c r="F8" s="48"/>
      <c r="G8" s="39">
        <f>((HORIZON!D3/1000)*(HORIZON!D4/1000)*16*0.7)+((HORIZON!D3/1000)*(HORIZON!D4/1000)*4*2.5)+$G$3</f>
        <v>10.939400000000001</v>
      </c>
      <c r="H8" s="42"/>
      <c r="I8" s="39">
        <f>(((HORIZON!D3/1000)*(HORIZON!D4/1000)*16*0.7)+((HORIZON!D3/1000)*(HORIZON!D4/1000)*4*2.5))/2</f>
        <v>5.2947000000000006</v>
      </c>
      <c r="J8" s="39">
        <f>(((HORIZON!D3/1000)*(HORIZON!D4/1000)*16*0.7)+((HORIZON!D3/1000)*(HORIZON!D4/1000)*4*2.5))/2+$G$3</f>
        <v>5.6447000000000003</v>
      </c>
      <c r="M8" s="47"/>
      <c r="N8" s="47"/>
      <c r="O8" s="47"/>
      <c r="P8" s="44"/>
    </row>
    <row r="9" spans="1:16" ht="15.75" customHeight="1" x14ac:dyDescent="0.2">
      <c r="A9" s="48"/>
      <c r="B9" s="48"/>
      <c r="C9" s="48"/>
      <c r="D9" s="48"/>
      <c r="E9" s="48"/>
      <c r="F9" s="48"/>
      <c r="G9" s="43">
        <v>0</v>
      </c>
      <c r="H9" s="42"/>
      <c r="I9" s="43">
        <v>0</v>
      </c>
      <c r="J9" s="43">
        <v>0</v>
      </c>
      <c r="M9" s="47"/>
      <c r="N9" s="47"/>
      <c r="O9" s="47"/>
      <c r="P9" s="44"/>
    </row>
    <row r="10" spans="1:16" ht="15.75" customHeight="1" x14ac:dyDescent="0.2">
      <c r="A10" s="48" t="s">
        <v>64</v>
      </c>
      <c r="B10" s="48"/>
      <c r="C10" s="48"/>
      <c r="D10" s="48"/>
      <c r="E10" s="48"/>
      <c r="F10" s="48"/>
      <c r="G10" s="39">
        <f>(HORIZON!D3/1000)*(HORIZON!D4/1000)*4*2.5+((HORIZON!D3/1000)*2+(HORIZON!D4/1000)*2)*0.5+$G$3</f>
        <v>6.8000000000000007</v>
      </c>
      <c r="H10" s="42"/>
      <c r="I10" s="39">
        <f>((HORIZON!D3/1000)*(HORIZON!D4/1000)*4*2.5+((HORIZON!D3/1000)*2+(HORIZON!D4/1000)*2)*0.5)/2</f>
        <v>3.2250000000000005</v>
      </c>
      <c r="J10" s="39">
        <f>((HORIZON!D3/1000)*(HORIZON!D4/1000)*4*2.5+((HORIZON!D3/1000)*2+(HORIZON!D4/1000)*2)*0.5)/2+$G$3</f>
        <v>3.5750000000000006</v>
      </c>
      <c r="M10" s="47"/>
      <c r="N10" s="47"/>
      <c r="O10" s="47"/>
      <c r="P10" s="40"/>
    </row>
    <row r="11" spans="1:16" ht="33" customHeight="1" x14ac:dyDescent="0.2">
      <c r="A11" s="48" t="s">
        <v>70</v>
      </c>
      <c r="B11" s="48"/>
      <c r="C11" s="48"/>
      <c r="D11" s="48"/>
      <c r="E11" s="48"/>
      <c r="F11" s="48"/>
      <c r="G11" s="43">
        <f>(HORIZON!D3/1000)*(HORIZON!D4/1000)*HORIZON!D5*0.68+$G$3</f>
        <v>6.4638800000000014</v>
      </c>
      <c r="H11" s="42"/>
      <c r="I11" s="43">
        <f>((HORIZON!D3/1000)*(HORIZON!D4/1000)*HORIZON!D5*0.68)/2</f>
        <v>3.0569400000000009</v>
      </c>
      <c r="J11" s="43">
        <f>((HORIZON!D3/1000)*(HORIZON!D4/1000)*HORIZON!D5*0.68)/2+$G$3</f>
        <v>3.406940000000001</v>
      </c>
      <c r="M11" s="47"/>
      <c r="N11" s="47"/>
      <c r="O11" s="47"/>
      <c r="P11" s="40"/>
    </row>
    <row r="12" spans="1:16" ht="15.75" customHeight="1" x14ac:dyDescent="0.2">
      <c r="A12" s="48" t="s">
        <v>71</v>
      </c>
      <c r="B12" s="48"/>
      <c r="C12" s="48"/>
      <c r="D12" s="48"/>
      <c r="E12" s="48"/>
      <c r="F12" s="48"/>
      <c r="G12" s="39">
        <f>(HORIZON!D3/1000)*(HORIZON!D4/1000)*HORIZON!D5*0.69+$G$3</f>
        <v>6.5537900000000002</v>
      </c>
      <c r="H12" s="42"/>
      <c r="I12" s="39">
        <f>((HORIZON!D3/1000)*(HORIZON!D4/1000)*HORIZON!D5*0.69)/2</f>
        <v>3.1018950000000003</v>
      </c>
      <c r="J12" s="39">
        <f>((HORIZON!D3/1000)*(HORIZON!D4/1000)*HORIZON!D5*0.69)/2+$G$3</f>
        <v>3.4518950000000004</v>
      </c>
      <c r="M12" s="47"/>
      <c r="N12" s="47"/>
      <c r="O12" s="47"/>
      <c r="P12" s="40"/>
    </row>
    <row r="13" spans="1:16" ht="15.75" customHeight="1" x14ac:dyDescent="0.2">
      <c r="A13" s="48" t="s">
        <v>72</v>
      </c>
      <c r="B13" s="48"/>
      <c r="C13" s="48"/>
      <c r="D13" s="48"/>
      <c r="E13" s="48"/>
      <c r="F13" s="48"/>
      <c r="G13" s="43">
        <f>(HORIZON!D3/1000)*(HORIZON!D4/1000)*HORIZON!D5*0.56+$G$3</f>
        <v>5.3849600000000013</v>
      </c>
      <c r="H13" s="42"/>
      <c r="I13" s="43">
        <f>((HORIZON!D3/1000)*(HORIZON!D4/1000)*HORIZON!D5*0.56)/2</f>
        <v>2.5174800000000008</v>
      </c>
      <c r="J13" s="43">
        <f>((HORIZON!D3/1000)*(HORIZON!D4/1000)*HORIZON!D5*0.56)/2+$G$3</f>
        <v>2.8674800000000009</v>
      </c>
      <c r="M13" s="47"/>
      <c r="N13" s="47"/>
      <c r="O13" s="47"/>
      <c r="P13" s="44"/>
    </row>
    <row r="14" spans="1:16" ht="15.75" customHeight="1" x14ac:dyDescent="0.2">
      <c r="M14" s="47"/>
      <c r="N14" s="47"/>
      <c r="O14" s="47"/>
      <c r="P14" s="40"/>
    </row>
    <row r="15" spans="1:16" ht="15.75" customHeight="1" x14ac:dyDescent="0.2">
      <c r="G15" s="43">
        <f>HORIZON!D11*1</f>
        <v>7.5427999999999997</v>
      </c>
      <c r="I15" s="43" t="e">
        <f>HORIZON!#REF!*1</f>
        <v>#REF!</v>
      </c>
      <c r="J15" s="43" t="e">
        <f>HORIZON!#REF!*1</f>
        <v>#REF!</v>
      </c>
      <c r="M15" s="47"/>
      <c r="N15" s="47"/>
      <c r="O15" s="47"/>
      <c r="P15" s="44"/>
    </row>
    <row r="16" spans="1:16" ht="12.75" customHeight="1" x14ac:dyDescent="0.2"/>
    <row r="17" spans="9:16" ht="12.75" customHeight="1" x14ac:dyDescent="0.2">
      <c r="I17" s="43" t="e">
        <f>I15+J15</f>
        <v>#REF!</v>
      </c>
      <c r="P17" s="44"/>
    </row>
    <row r="18" spans="9:16" ht="12.75" customHeight="1" x14ac:dyDescent="0.2"/>
    <row r="19" spans="9:16" ht="12.75" customHeight="1" x14ac:dyDescent="0.2"/>
  </sheetData>
  <sheetProtection algorithmName="SHA-512" hashValue="WvY3Orh1bwYmM2s8gMKMXTojuBniynpnJgu30tqCJvn6LwtgRmUMlrcB9B6OcF0PZGe4mvc0B+Hs2ZDq/amyTA==" saltValue="S1naJ+n49JGzIJoyXwNeDw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19"/>
  <sheetViews>
    <sheetView topLeftCell="K1" zoomScaleNormal="100" workbookViewId="0">
      <selection activeCell="Q11" sqref="Q11"/>
    </sheetView>
  </sheetViews>
  <sheetFormatPr defaultColWidth="10.28515625" defaultRowHeight="12.75" x14ac:dyDescent="0.2"/>
  <cols>
    <col min="1" max="10" width="11.5703125" style="36" hidden="1" customWidth="1"/>
    <col min="11" max="1024" width="10.28515625" style="36"/>
  </cols>
  <sheetData>
    <row r="1" spans="1:16" ht="12.75" customHeight="1" x14ac:dyDescent="0.2"/>
    <row r="2" spans="1:16" ht="25.5" customHeight="1" x14ac:dyDescent="0.2">
      <c r="G2" s="37" t="s">
        <v>65</v>
      </c>
      <c r="P2" s="38"/>
    </row>
    <row r="3" spans="1:16" ht="15.75" customHeight="1" x14ac:dyDescent="0.2">
      <c r="A3" s="49" t="s">
        <v>66</v>
      </c>
      <c r="B3" s="49"/>
      <c r="C3" s="49"/>
      <c r="D3" s="49"/>
      <c r="E3" s="49"/>
      <c r="F3" s="49"/>
      <c r="G3" s="39" t="e">
        <f>#REF!/100*0.1</f>
        <v>#REF!</v>
      </c>
      <c r="M3" s="50"/>
      <c r="N3" s="50"/>
      <c r="O3" s="50"/>
      <c r="P3" s="40"/>
    </row>
    <row r="4" spans="1:16" ht="15.75" customHeight="1" x14ac:dyDescent="0.2">
      <c r="M4" s="47"/>
      <c r="N4" s="47"/>
      <c r="O4" s="47"/>
      <c r="P4" s="40"/>
    </row>
    <row r="5" spans="1:16" ht="15.75" customHeight="1" x14ac:dyDescent="0.2">
      <c r="A5" s="48" t="s">
        <v>67</v>
      </c>
      <c r="B5" s="48"/>
      <c r="C5" s="48"/>
      <c r="D5" s="48"/>
      <c r="E5" s="48"/>
      <c r="F5" s="48"/>
      <c r="G5" s="39" t="e">
        <f>(#REF!/1000)*(#REF!/1000)*#REF!*0.7+$G$3</f>
        <v>#REF!</v>
      </c>
      <c r="H5" s="42"/>
      <c r="I5" s="39" t="e">
        <f>((#REF!/1000)*(#REF!/1000)*#REF!*0.7)/2</f>
        <v>#REF!</v>
      </c>
      <c r="J5" s="39" t="e">
        <f>((#REF!/1000)*(#REF!/1000)*#REF!*0.7)/2+$G$3</f>
        <v>#REF!</v>
      </c>
      <c r="M5" s="47"/>
      <c r="N5" s="47"/>
      <c r="O5" s="47"/>
      <c r="P5" s="40"/>
    </row>
    <row r="6" spans="1:16" ht="15.75" customHeight="1" x14ac:dyDescent="0.2">
      <c r="A6" s="48" t="s">
        <v>10</v>
      </c>
      <c r="B6" s="48"/>
      <c r="C6" s="48"/>
      <c r="D6" s="48"/>
      <c r="E6" s="48"/>
      <c r="F6" s="48"/>
      <c r="G6" s="43" t="e">
        <f>(#REF!/1000)*(#REF!/1000)*#REF!*0.8+$G$3</f>
        <v>#REF!</v>
      </c>
      <c r="H6" s="42"/>
      <c r="I6" s="43" t="e">
        <f>((#REF!/1000)*(#REF!/1000)*#REF!*0.8)/2</f>
        <v>#REF!</v>
      </c>
      <c r="J6" s="43" t="e">
        <f>((#REF!/1000)*(#REF!/1000)*#REF!*0.8)/2+$G$3</f>
        <v>#REF!</v>
      </c>
      <c r="M6" s="47"/>
      <c r="N6" s="47"/>
      <c r="O6" s="47"/>
      <c r="P6" s="44"/>
    </row>
    <row r="7" spans="1:16" ht="15.75" customHeight="1" x14ac:dyDescent="0.2">
      <c r="A7" s="48" t="s">
        <v>68</v>
      </c>
      <c r="B7" s="48"/>
      <c r="C7" s="48"/>
      <c r="D7" s="48"/>
      <c r="E7" s="48"/>
      <c r="F7" s="48"/>
      <c r="G7" s="39" t="e">
        <f>(((#REF!/1000)*0.06+(#REF!/1000)*0.06)*2)*19*0.8+((#REF!/1000)*(#REF!/1000)*4*2.5)+$G$3</f>
        <v>#REF!</v>
      </c>
      <c r="H7" s="42"/>
      <c r="I7" s="39" t="e">
        <f>((((#REF!/1000)*0.06+(#REF!/1000)*0.06)*2)*19*0.8+((#REF!/1000)*(#REF!/1000)*4*2.5))/2</f>
        <v>#REF!</v>
      </c>
      <c r="J7" s="39" t="e">
        <f>((((#REF!/1000)*0.06+(#REF!/1000)*0.06)*2)*19*0.8+((#REF!/1000)*(#REF!/1000)*4*2.5))/2+$G$3</f>
        <v>#REF!</v>
      </c>
      <c r="M7" s="41"/>
      <c r="N7" s="41"/>
      <c r="O7" s="41"/>
      <c r="P7" s="44"/>
    </row>
    <row r="8" spans="1:16" ht="27.75" customHeight="1" x14ac:dyDescent="0.2">
      <c r="A8" s="48" t="s">
        <v>69</v>
      </c>
      <c r="B8" s="48"/>
      <c r="C8" s="48"/>
      <c r="D8" s="48"/>
      <c r="E8" s="48"/>
      <c r="F8" s="48"/>
      <c r="G8" s="39" t="e">
        <f>((#REF!/1000)*(#REF!/1000)*16*0.7)+((#REF!/1000)*(#REF!/1000)*4*2.5)+$G$3</f>
        <v>#REF!</v>
      </c>
      <c r="H8" s="42"/>
      <c r="I8" s="39" t="e">
        <f>(((#REF!/1000)*(#REF!/1000)*16*0.7)+((#REF!/1000)*(#REF!/1000)*4*2.5))/2</f>
        <v>#REF!</v>
      </c>
      <c r="J8" s="39" t="e">
        <f>(((#REF!/1000)*(#REF!/1000)*16*0.7)+((#REF!/1000)*(#REF!/1000)*4*2.5))/2+$G$3</f>
        <v>#REF!</v>
      </c>
      <c r="M8" s="47"/>
      <c r="N8" s="47"/>
      <c r="O8" s="47"/>
      <c r="P8" s="44"/>
    </row>
    <row r="9" spans="1:16" ht="15.75" customHeight="1" x14ac:dyDescent="0.2">
      <c r="A9" s="48"/>
      <c r="B9" s="48"/>
      <c r="C9" s="48"/>
      <c r="D9" s="48"/>
      <c r="E9" s="48"/>
      <c r="F9" s="48"/>
      <c r="G9" s="43">
        <v>0</v>
      </c>
      <c r="H9" s="42"/>
      <c r="I9" s="43">
        <v>0</v>
      </c>
      <c r="J9" s="43">
        <v>0</v>
      </c>
      <c r="M9" s="47"/>
      <c r="N9" s="47"/>
      <c r="O9" s="47"/>
      <c r="P9" s="44"/>
    </row>
    <row r="10" spans="1:16" ht="15.75" customHeight="1" x14ac:dyDescent="0.2">
      <c r="A10" s="48" t="s">
        <v>64</v>
      </c>
      <c r="B10" s="48"/>
      <c r="C10" s="48"/>
      <c r="D10" s="48"/>
      <c r="E10" s="48"/>
      <c r="F10" s="48"/>
      <c r="G10" s="39" t="e">
        <f>(#REF!/1000)*(#REF!/1000)*4*2.5+((#REF!/1000)*2+(#REF!/1000)*2)*0.5+$G$3</f>
        <v>#REF!</v>
      </c>
      <c r="H10" s="42"/>
      <c r="I10" s="39" t="e">
        <f>((#REF!/1000)*(#REF!/1000)*4*2.5+((#REF!/1000)*2+(#REF!/1000)*2)*0.5)/2</f>
        <v>#REF!</v>
      </c>
      <c r="J10" s="39" t="e">
        <f>((#REF!/1000)*(#REF!/1000)*4*2.5+((#REF!/1000)*2+(#REF!/1000)*2)*0.5)/2+$G$3</f>
        <v>#REF!</v>
      </c>
      <c r="M10" s="47"/>
      <c r="N10" s="47"/>
      <c r="O10" s="47"/>
      <c r="P10" s="40"/>
    </row>
    <row r="11" spans="1:16" ht="33" customHeight="1" x14ac:dyDescent="0.2">
      <c r="A11" s="48" t="s">
        <v>70</v>
      </c>
      <c r="B11" s="48"/>
      <c r="C11" s="48"/>
      <c r="D11" s="48"/>
      <c r="E11" s="48"/>
      <c r="F11" s="48"/>
      <c r="G11" s="43" t="e">
        <f>(#REF!/1000)*(#REF!/1000)*#REF!*0.68+$G$3</f>
        <v>#REF!</v>
      </c>
      <c r="H11" s="42"/>
      <c r="I11" s="43" t="e">
        <f>((#REF!/1000)*(#REF!/1000)*#REF!*0.68)/2</f>
        <v>#REF!</v>
      </c>
      <c r="J11" s="43" t="e">
        <f>((#REF!/1000)*(#REF!/1000)*#REF!*0.68)/2+$G$3</f>
        <v>#REF!</v>
      </c>
      <c r="M11" s="47"/>
      <c r="N11" s="47"/>
      <c r="O11" s="47"/>
      <c r="P11" s="40"/>
    </row>
    <row r="12" spans="1:16" ht="15.75" customHeight="1" x14ac:dyDescent="0.2">
      <c r="A12" s="48" t="s">
        <v>71</v>
      </c>
      <c r="B12" s="48"/>
      <c r="C12" s="48"/>
      <c r="D12" s="48"/>
      <c r="E12" s="48"/>
      <c r="F12" s="48"/>
      <c r="G12" s="39" t="e">
        <f>(#REF!/1000)*(#REF!/1000)*#REF!*0.69+$G$3</f>
        <v>#REF!</v>
      </c>
      <c r="H12" s="42"/>
      <c r="I12" s="39" t="e">
        <f>((#REF!/1000)*(#REF!/1000)*#REF!*0.69)/2</f>
        <v>#REF!</v>
      </c>
      <c r="J12" s="39" t="e">
        <f>((#REF!/1000)*(#REF!/1000)*#REF!*0.69)/2+$G$3</f>
        <v>#REF!</v>
      </c>
      <c r="M12" s="47"/>
      <c r="N12" s="47"/>
      <c r="O12" s="47"/>
      <c r="P12" s="40"/>
    </row>
    <row r="13" spans="1:16" ht="15.75" customHeight="1" x14ac:dyDescent="0.2">
      <c r="A13" s="48" t="s">
        <v>72</v>
      </c>
      <c r="B13" s="48"/>
      <c r="C13" s="48"/>
      <c r="D13" s="48"/>
      <c r="E13" s="48"/>
      <c r="F13" s="48"/>
      <c r="G13" s="43" t="e">
        <f>(#REF!/1000)*(#REF!/1000)*#REF!*0.56+$G$3</f>
        <v>#REF!</v>
      </c>
      <c r="H13" s="42"/>
      <c r="I13" s="43" t="e">
        <f>((#REF!/1000)*(#REF!/1000)*#REF!*0.56)/2</f>
        <v>#REF!</v>
      </c>
      <c r="J13" s="43" t="e">
        <f>((#REF!/1000)*(#REF!/1000)*#REF!*0.56)/2+$G$3</f>
        <v>#REF!</v>
      </c>
      <c r="M13" s="47"/>
      <c r="N13" s="47"/>
      <c r="O13" s="47"/>
      <c r="P13" s="44"/>
    </row>
    <row r="14" spans="1:16" ht="15.75" customHeight="1" x14ac:dyDescent="0.2">
      <c r="M14" s="47"/>
      <c r="N14" s="47"/>
      <c r="O14" s="47"/>
      <c r="P14" s="40"/>
    </row>
    <row r="15" spans="1:16" ht="15.75" customHeight="1" x14ac:dyDescent="0.2">
      <c r="G15" s="43" t="e">
        <f>#REF!*1</f>
        <v>#REF!</v>
      </c>
      <c r="I15" s="43" t="e">
        <f>#REF!*1</f>
        <v>#REF!</v>
      </c>
      <c r="J15" s="43" t="e">
        <f>#REF!*1</f>
        <v>#REF!</v>
      </c>
      <c r="M15" s="47"/>
      <c r="N15" s="47"/>
      <c r="O15" s="47"/>
      <c r="P15" s="44"/>
    </row>
    <row r="16" spans="1:16" ht="12.75" customHeight="1" x14ac:dyDescent="0.2"/>
    <row r="17" spans="9:16" ht="12.75" customHeight="1" x14ac:dyDescent="0.2">
      <c r="I17" s="43" t="e">
        <f>I15+J15</f>
        <v>#REF!</v>
      </c>
      <c r="P17" s="44"/>
    </row>
    <row r="18" spans="9:16" ht="12.75" customHeight="1" x14ac:dyDescent="0.2"/>
    <row r="19" spans="9:16" ht="12.75" customHeight="1" x14ac:dyDescent="0.2"/>
  </sheetData>
  <sheetProtection algorithmName="SHA-512" hashValue="VBqpDV+dmQ6/Xx3h3HTPCuFQMJQlpWmoDW85LcWvR/hVk3SNVj26lKaGUt5AVRZhlFeKFr19XC3BtoaZD2NK4g==" saltValue="6G3P0mHdTbb8HhjNdouDJQ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HORIZON</vt:lpstr>
      <vt:lpstr>hidden</vt:lpstr>
      <vt:lpstr>hidden1</vt:lpstr>
      <vt:lpstr>hidden3</vt:lpstr>
      <vt:lpstr>hidden2</vt:lpstr>
      <vt:lpstr>hidden4</vt:lpstr>
      <vt:lpstr>Материал_freefold</vt:lpstr>
      <vt:lpstr>Материал_freelight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Butsyanau Valery</dc:creator>
  <dc:description/>
  <cp:lastModifiedBy>admin</cp:lastModifiedBy>
  <cp:revision>0</cp:revision>
  <dcterms:created xsi:type="dcterms:W3CDTF">2021-02-13T10:38:45Z</dcterms:created>
  <dcterms:modified xsi:type="dcterms:W3CDTF">2026-03-12T12:32:51Z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